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kelli.suzana\Desktop\"/>
    </mc:Choice>
  </mc:AlternateContent>
  <xr:revisionPtr revIDLastSave="0" documentId="8_{0A97C126-E94A-4B70-9AF6-4326306432D9}" xr6:coauthVersionLast="47" xr6:coauthVersionMax="47" xr10:uidLastSave="{00000000-0000-0000-0000-000000000000}"/>
  <bookViews>
    <workbookView xWindow="20370" yWindow="-120" windowWidth="29040" windowHeight="15720" activeTab="8" xr2:uid="{0C1103D9-8790-4CBB-B985-4CB73C110AF5}"/>
  </bookViews>
  <sheets>
    <sheet name="Períodos" sheetId="1" r:id="rId1"/>
    <sheet name="Índice Manual" sheetId="2" r:id="rId2"/>
    <sheet name="Média móvel 3" sheetId="3" r:id="rId3"/>
    <sheet name="Média móvel 6" sheetId="4" r:id="rId4"/>
    <sheet name="Média simples" sheetId="5" r:id="rId5"/>
    <sheet name="Período anterior" sheetId="6" r:id="rId6"/>
    <sheet name="Alisamento exponencial" sheetId="7" r:id="rId7"/>
    <sheet name="Tendência" sheetId="8" r:id="rId8"/>
    <sheet name="Espalhamento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7" l="1"/>
  <c r="F6" i="7" s="1"/>
  <c r="F7" i="7" s="1"/>
  <c r="F8" i="7" s="1"/>
  <c r="F9" i="7" s="1"/>
  <c r="F10" i="7" s="1"/>
  <c r="P5" i="7" s="1"/>
  <c r="I5" i="8" l="1"/>
  <c r="I4" i="8"/>
  <c r="F6" i="8"/>
  <c r="E6" i="8"/>
  <c r="H6" i="6"/>
  <c r="H9" i="6" s="1"/>
  <c r="H6" i="5"/>
  <c r="H9" i="5" s="1"/>
  <c r="H6" i="3"/>
  <c r="H9" i="3" s="1"/>
  <c r="H10" i="2"/>
  <c r="H13" i="2" s="1"/>
  <c r="L6" i="1"/>
  <c r="B12" i="1"/>
  <c r="F21" i="8"/>
  <c r="E21" i="8"/>
  <c r="F23" i="7"/>
  <c r="F24" i="7" s="1"/>
  <c r="F25" i="7" s="1"/>
  <c r="F26" i="7" s="1"/>
  <c r="F27" i="7" s="1"/>
  <c r="F28" i="7" s="1"/>
  <c r="F14" i="7"/>
  <c r="F15" i="7" s="1"/>
  <c r="G15" i="7" s="1"/>
  <c r="H6" i="4"/>
  <c r="H9" i="4" s="1"/>
  <c r="J12" i="9"/>
  <c r="K12" i="9" s="1"/>
  <c r="O4" i="8" l="1"/>
  <c r="L6" i="8"/>
  <c r="G28" i="7"/>
  <c r="P22" i="7"/>
  <c r="G23" i="7"/>
  <c r="G24" i="7"/>
  <c r="G14" i="7"/>
  <c r="G25" i="7"/>
  <c r="G26" i="7"/>
  <c r="G27" i="7"/>
  <c r="F16" i="7"/>
  <c r="F9" i="8"/>
  <c r="E9" i="8"/>
  <c r="I3" i="8" s="1"/>
  <c r="F18" i="8"/>
  <c r="E18" i="8"/>
  <c r="F15" i="8"/>
  <c r="E15" i="8"/>
  <c r="F12" i="8"/>
  <c r="E12" i="8"/>
  <c r="I6" i="8" l="1"/>
  <c r="L3" i="8"/>
  <c r="L5" i="8"/>
  <c r="N10" i="8"/>
  <c r="O3" i="8"/>
  <c r="O7" i="8" s="1"/>
  <c r="L4" i="8"/>
  <c r="N11" i="8"/>
  <c r="F17" i="7"/>
  <c r="G16" i="7"/>
  <c r="G6" i="7"/>
  <c r="O5" i="8"/>
  <c r="O6" i="8"/>
  <c r="L7" i="8" l="1"/>
  <c r="K14" i="8" s="1"/>
  <c r="F18" i="7"/>
  <c r="G17" i="7"/>
  <c r="G7" i="7"/>
  <c r="H21" i="7"/>
  <c r="H28" i="7" s="1"/>
  <c r="F19" i="7" l="1"/>
  <c r="P14" i="7" s="1"/>
  <c r="G18" i="7"/>
  <c r="G8" i="7"/>
  <c r="H8" i="7" s="1"/>
  <c r="H6" i="7"/>
  <c r="H7" i="7"/>
  <c r="H24" i="7"/>
  <c r="H23" i="7"/>
  <c r="H25" i="7"/>
  <c r="H26" i="7"/>
  <c r="H27" i="7"/>
  <c r="I16" i="9"/>
  <c r="I20" i="9" s="1"/>
  <c r="H19" i="9"/>
  <c r="H16" i="9"/>
  <c r="H20" i="9" s="1"/>
  <c r="I13" i="9"/>
  <c r="H12" i="9"/>
  <c r="H6" i="9"/>
  <c r="H9" i="9"/>
  <c r="E5" i="1"/>
  <c r="E6" i="1" s="1"/>
  <c r="E8" i="1" s="1"/>
  <c r="E9" i="1" s="1"/>
  <c r="E11" i="1" s="1"/>
  <c r="E12" i="1" s="1"/>
  <c r="E14" i="1" s="1"/>
  <c r="E15" i="1" s="1"/>
  <c r="E17" i="1" s="1"/>
  <c r="E18" i="1" s="1"/>
  <c r="E20" i="1" s="1"/>
  <c r="E21" i="1" s="1"/>
  <c r="H5" i="1"/>
  <c r="H6" i="1"/>
  <c r="H8" i="1" s="1"/>
  <c r="H9" i="1" s="1"/>
  <c r="L8" i="1"/>
  <c r="L9" i="1" s="1"/>
  <c r="L11" i="1" s="1"/>
  <c r="L12" i="1" s="1"/>
  <c r="L14" i="1" s="1"/>
  <c r="L15" i="1" s="1"/>
  <c r="L17" i="1" s="1"/>
  <c r="L18" i="1" s="1"/>
  <c r="L5" i="1"/>
  <c r="B11" i="1"/>
  <c r="K21" i="7" l="1"/>
  <c r="K22" i="7" s="1"/>
  <c r="G19" i="7"/>
  <c r="H19" i="7" s="1"/>
  <c r="H12" i="7"/>
  <c r="G9" i="7"/>
  <c r="H9" i="7" s="1"/>
  <c r="K11" i="8"/>
  <c r="H16" i="7"/>
  <c r="H15" i="7"/>
  <c r="H14" i="7"/>
  <c r="H17" i="7"/>
  <c r="H18" i="7"/>
  <c r="H13" i="9"/>
  <c r="K12" i="7" l="1"/>
  <c r="K13" i="7" s="1"/>
  <c r="G10" i="7"/>
  <c r="H10" i="7" s="1"/>
  <c r="G5" i="7"/>
  <c r="H5" i="7" s="1"/>
  <c r="H3" i="7"/>
  <c r="K3" i="7" l="1"/>
  <c r="K4" i="7" s="1"/>
  <c r="K23" i="7" s="1"/>
  <c r="K14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Anderson Herz</author>
  </authors>
  <commentList>
    <comment ref="H10" authorId="0" shapeId="0" xr:uid="{51FCBEFB-D38A-408E-B22A-28F92ECEB2A6}">
      <text>
        <r>
          <rPr>
            <b/>
            <sz val="9"/>
            <color indexed="81"/>
            <rFont val="Segoe UI"/>
            <family val="2"/>
          </rPr>
          <t>Anderson Herz:</t>
        </r>
        <r>
          <rPr>
            <sz val="9"/>
            <color indexed="81"/>
            <rFont val="Segoe UI"/>
            <family val="2"/>
          </rPr>
          <t xml:space="preserve">
=(</t>
        </r>
        <r>
          <rPr>
            <b/>
            <sz val="9"/>
            <color indexed="81"/>
            <rFont val="Segoe UI"/>
            <family val="2"/>
          </rPr>
          <t>Qtde periodo anterior</t>
        </r>
        <r>
          <rPr>
            <sz val="9"/>
            <color indexed="81"/>
            <rFont val="Segoe UI"/>
            <family val="2"/>
          </rPr>
          <t xml:space="preserve"> + </t>
        </r>
        <r>
          <rPr>
            <b/>
            <sz val="9"/>
            <color indexed="81"/>
            <rFont val="Segoe UI"/>
            <family val="2"/>
          </rPr>
          <t>Índice manual</t>
        </r>
        <r>
          <rPr>
            <sz val="9"/>
            <color indexed="81"/>
            <rFont val="Segoe UI"/>
            <family val="2"/>
          </rPr>
          <t xml:space="preserve">)
- </t>
        </r>
        <r>
          <rPr>
            <b/>
            <sz val="9"/>
            <color indexed="81"/>
            <rFont val="Segoe UI"/>
            <family val="2"/>
          </rPr>
          <t>Qtde periodo anterior</t>
        </r>
        <r>
          <rPr>
            <sz val="9"/>
            <color indexed="81"/>
            <rFont val="Segoe UI"/>
            <family val="2"/>
          </rPr>
          <t xml:space="preserve">(02/dez - 31/dez) = 40
- </t>
        </r>
        <r>
          <rPr>
            <b/>
            <sz val="9"/>
            <color indexed="81"/>
            <rFont val="Segoe UI"/>
            <family val="2"/>
          </rPr>
          <t xml:space="preserve">Índice manual </t>
        </r>
        <r>
          <rPr>
            <sz val="9"/>
            <color indexed="81"/>
            <rFont val="Segoe UI"/>
            <family val="2"/>
          </rPr>
          <t>= 12%</t>
        </r>
      </text>
    </comment>
    <comment ref="H13" authorId="0" shapeId="0" xr:uid="{FF4D3CB2-7B60-4D76-AF93-E41E9309CCCC}">
      <text>
        <r>
          <rPr>
            <b/>
            <sz val="9"/>
            <color indexed="81"/>
            <rFont val="Segoe UI"/>
            <family val="2"/>
          </rPr>
          <t>Anderson Herz:</t>
        </r>
        <r>
          <rPr>
            <sz val="9"/>
            <color indexed="81"/>
            <rFont val="Segoe UI"/>
            <family val="2"/>
          </rPr>
          <t xml:space="preserve">
=(</t>
        </r>
        <r>
          <rPr>
            <b/>
            <sz val="9"/>
            <color indexed="81"/>
            <rFont val="Segoe UI"/>
            <family val="2"/>
          </rPr>
          <t>Qtde periodo anterior</t>
        </r>
        <r>
          <rPr>
            <sz val="9"/>
            <color indexed="81"/>
            <rFont val="Segoe UI"/>
            <family val="2"/>
          </rPr>
          <t xml:space="preserve"> +</t>
        </r>
        <r>
          <rPr>
            <b/>
            <sz val="9"/>
            <color indexed="81"/>
            <rFont val="Segoe UI"/>
            <family val="2"/>
          </rPr>
          <t xml:space="preserve"> Índice manual</t>
        </r>
        <r>
          <rPr>
            <sz val="9"/>
            <color indexed="81"/>
            <rFont val="Segoe UI"/>
            <family val="2"/>
          </rPr>
          <t>)
-</t>
        </r>
        <r>
          <rPr>
            <b/>
            <sz val="9"/>
            <color indexed="81"/>
            <rFont val="Segoe UI"/>
            <family val="2"/>
          </rPr>
          <t xml:space="preserve"> Qtde periodo anterior</t>
        </r>
        <r>
          <rPr>
            <sz val="9"/>
            <color indexed="81"/>
            <rFont val="Segoe UI"/>
            <family val="2"/>
          </rPr>
          <t xml:space="preserve">(01/jan - 30/jan) = 44,8
- </t>
        </r>
        <r>
          <rPr>
            <b/>
            <sz val="9"/>
            <color indexed="81"/>
            <rFont val="Segoe UI"/>
            <family val="2"/>
          </rPr>
          <t>Índice manual</t>
        </r>
        <r>
          <rPr>
            <sz val="9"/>
            <color indexed="81"/>
            <rFont val="Segoe UI"/>
            <family val="2"/>
          </rPr>
          <t xml:space="preserve"> = 12%
</t>
        </r>
        <r>
          <rPr>
            <b/>
            <sz val="9"/>
            <color indexed="81"/>
            <rFont val="Segoe UI"/>
            <family val="2"/>
          </rPr>
          <t>Obs.:</t>
        </r>
        <r>
          <rPr>
            <sz val="9"/>
            <color indexed="81"/>
            <rFont val="Segoe UI"/>
            <family val="2"/>
          </rPr>
          <t xml:space="preserve"> neste caso o período anterior já é considerado o valor calculado como previsão para o primeiro período de previsão.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Anderson Herz</author>
  </authors>
  <commentList>
    <comment ref="H6" authorId="0" shapeId="0" xr:uid="{41792A8F-DB1B-407C-B263-A23F5598C4C1}">
      <text>
        <r>
          <rPr>
            <b/>
            <sz val="9"/>
            <color indexed="81"/>
            <rFont val="Segoe UI"/>
            <charset val="1"/>
          </rPr>
          <t>Anderson Herz:</t>
        </r>
        <r>
          <rPr>
            <sz val="9"/>
            <color indexed="81"/>
            <rFont val="Segoe UI"/>
            <charset val="1"/>
          </rPr>
          <t xml:space="preserve">
= </t>
        </r>
        <r>
          <rPr>
            <b/>
            <sz val="9"/>
            <color indexed="81"/>
            <rFont val="Segoe UI"/>
            <family val="2"/>
          </rPr>
          <t xml:space="preserve">Média dos 3 períodos anteriores
</t>
        </r>
        <r>
          <rPr>
            <sz val="9"/>
            <color indexed="81"/>
            <rFont val="Segoe UI"/>
            <family val="2"/>
          </rPr>
          <t>03/out a 01/nov = 40,00
02/nov a 01/dez = 45,00
02/dez a 31/dez = 40,00
(40+45+40) / 3 = 41,66667</t>
        </r>
      </text>
    </comment>
    <comment ref="H9" authorId="0" shapeId="0" xr:uid="{BBB8A34F-9D06-4B38-B324-ACECE0E29098}">
      <text>
        <r>
          <rPr>
            <b/>
            <sz val="9"/>
            <color indexed="81"/>
            <rFont val="Segoe UI"/>
            <family val="2"/>
          </rPr>
          <t>Anderson Herz: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= Média dos 3 períodos anteriores</t>
        </r>
        <r>
          <rPr>
            <sz val="9"/>
            <color indexed="81"/>
            <rFont val="Segoe UI"/>
            <family val="2"/>
          </rPr>
          <t xml:space="preserve">
02/nov a 01/dez = 45,00
02/dez a 31/dez = 40,00
01/jan a 30/jan = 41,66667
(45+40+41,66667) / 3 = 42,22222
</t>
        </r>
        <r>
          <rPr>
            <b/>
            <sz val="9"/>
            <color indexed="81"/>
            <rFont val="Segoe UI"/>
            <family val="2"/>
          </rPr>
          <t>Obs.: atentar que neste caso já consideramos o período calculado anteriormente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Anderson Herz</author>
  </authors>
  <commentList>
    <comment ref="H6" authorId="0" shapeId="0" xr:uid="{1887477F-A250-49A1-9E24-2E6575DF7604}">
      <text>
        <r>
          <rPr>
            <b/>
            <sz val="9"/>
            <color indexed="81"/>
            <rFont val="Segoe UI"/>
            <family val="2"/>
          </rPr>
          <t>Anderson Herz: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= Média dos 6 períodos anteriores</t>
        </r>
        <r>
          <rPr>
            <sz val="9"/>
            <color indexed="81"/>
            <rFont val="Segoe UI"/>
            <family val="2"/>
          </rPr>
          <t xml:space="preserve">
02/jul a 03/ago = 30,00
04/ago a 02/set = 35,00
03/set a 02/out = 30,00
03/out a 01/nov = 40,00
02/nov a 01/dez = 45,00
02/dez a 31/dez = 40,00
(30 + 35 +30 40+45+40) / 6 = 36,66667</t>
        </r>
      </text>
    </comment>
    <comment ref="H9" authorId="0" shapeId="0" xr:uid="{2216078B-8024-4AC0-91AB-FABA694F31B5}">
      <text>
        <r>
          <rPr>
            <b/>
            <sz val="9"/>
            <color indexed="81"/>
            <rFont val="Segoe UI"/>
            <family val="2"/>
          </rPr>
          <t>Anderson Herz: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= Média dos 6 períodos anteriores</t>
        </r>
        <r>
          <rPr>
            <sz val="9"/>
            <color indexed="81"/>
            <rFont val="Segoe UI"/>
            <family val="2"/>
          </rPr>
          <t xml:space="preserve">
04/ago a 02/set = 35,00
03/set a 02/out = 30,00
03/out a 01/nov = 40,00
02/nov a 01/dez = 45,00
02/dez a 31/dez = 40,00
01/jan a 30/jan = 36,66667
(35 + 30 +40 + 45 + 40 + 36,66667) / 6 = 37,77778
</t>
        </r>
        <r>
          <rPr>
            <b/>
            <sz val="9"/>
            <color indexed="81"/>
            <rFont val="Segoe UI"/>
            <family val="2"/>
          </rPr>
          <t>Obs.: atentar que neste caso já consideramos o período calculado anteriormente.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Anderson Herz</author>
  </authors>
  <commentList>
    <comment ref="H6" authorId="0" shapeId="0" xr:uid="{0DB313F4-8446-4E93-A094-3E4DD7072113}">
      <text>
        <r>
          <rPr>
            <b/>
            <sz val="9"/>
            <color indexed="81"/>
            <rFont val="Segoe UI"/>
            <family val="2"/>
          </rPr>
          <t>Anderson Herz: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 xml:space="preserve">= Média simples de todos os períodos do histórico
</t>
        </r>
        <r>
          <rPr>
            <sz val="9"/>
            <color indexed="81"/>
            <rFont val="Segoe UI"/>
            <family val="2"/>
          </rPr>
          <t>05/jul a 03/ago = 30,00</t>
        </r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>04/ago a 02/set = 35,00
03/set a 02/out = 30,00
03/out a 01/nov = 40,00
02/nov a 01/dez = 45,00
02/dez a 31/dez = 40,00
(30 + 35 +30 + 40+45+40) / 6 = 36,66667</t>
        </r>
      </text>
    </comment>
    <comment ref="H9" authorId="0" shapeId="0" xr:uid="{3C6739FE-79C8-405F-BA9F-319EA11BBDD9}">
      <text>
        <r>
          <rPr>
            <b/>
            <sz val="9"/>
            <color indexed="81"/>
            <rFont val="Segoe UI"/>
            <family val="2"/>
          </rPr>
          <t>Anderson Herz: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= Média simples de todos os períodos do histórico</t>
        </r>
        <r>
          <rPr>
            <sz val="9"/>
            <color indexed="81"/>
            <rFont val="Segoe UI"/>
            <family val="2"/>
          </rPr>
          <t xml:space="preserve">
05/jul a 03/ago = 30,00
04/ago a 02/set = 35,00
03/set a 02/out = 30,00
03/out a 01/nov = 40,00
02/nov a 01/dez = 45,00
02/dez a 31/dez = 40,00
01/jan a 30/jan = 36,66667
(30 + 35 +30 + 40 + 45 + 40 + 36,66667) / 7 = 36,66667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Anderson Herz</author>
  </authors>
  <commentList>
    <comment ref="H6" authorId="0" shapeId="0" xr:uid="{58C0B5F1-AC2F-433D-9CAD-526A31524BC6}">
      <text>
        <r>
          <rPr>
            <b/>
            <sz val="9"/>
            <color indexed="81"/>
            <rFont val="Segoe UI"/>
            <family val="2"/>
          </rPr>
          <t>Anderson Herz: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 xml:space="preserve">= Período anterior
</t>
        </r>
        <r>
          <rPr>
            <sz val="9"/>
            <color indexed="81"/>
            <rFont val="Segoe UI"/>
            <family val="2"/>
          </rPr>
          <t>02/dez a 31/dez = 40,00</t>
        </r>
      </text>
    </comment>
    <comment ref="H9" authorId="0" shapeId="0" xr:uid="{A7AC6E14-E989-49A1-AF3F-EA24FBDED4F4}">
      <text>
        <r>
          <rPr>
            <b/>
            <sz val="9"/>
            <color indexed="81"/>
            <rFont val="Segoe UI"/>
            <family val="2"/>
          </rPr>
          <t>Anderson Herz: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 xml:space="preserve">= Período anterior
</t>
        </r>
        <r>
          <rPr>
            <sz val="9"/>
            <color indexed="81"/>
            <rFont val="Segoe UI"/>
            <family val="2"/>
          </rPr>
          <t xml:space="preserve">01/jan a 30/jan = 40
</t>
        </r>
        <r>
          <rPr>
            <b/>
            <sz val="9"/>
            <color indexed="81"/>
            <rFont val="Segoe UI"/>
            <family val="2"/>
          </rPr>
          <t>Obs.: neste caso pode ser considerado tanto o período calculado anteriormente(01/jan a 30/jan) quanto o último período do histórico(02/dez a 31/dez).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Anderson Herz</author>
  </authors>
  <commentList>
    <comment ref="H3" authorId="0" shapeId="0" xr:uid="{F992CE08-7F06-458B-AF61-1E8E69AA917E}">
      <text>
        <r>
          <rPr>
            <b/>
            <sz val="9"/>
            <color indexed="81"/>
            <rFont val="Segoe UI"/>
            <family val="2"/>
          </rPr>
          <t>Anderson Herz:</t>
        </r>
        <r>
          <rPr>
            <sz val="9"/>
            <color indexed="81"/>
            <rFont val="Segoe UI"/>
            <family val="2"/>
          </rPr>
          <t xml:space="preserve">
Passo 1</t>
        </r>
      </text>
    </comment>
    <comment ref="J3" authorId="0" shapeId="0" xr:uid="{4C21A4CE-27E5-4A09-A72A-B2A2CE6D2404}">
      <text>
        <r>
          <rPr>
            <b/>
            <sz val="9"/>
            <color indexed="81"/>
            <rFont val="Segoe UI"/>
            <family val="2"/>
          </rPr>
          <t>Anderson Herz:</t>
        </r>
        <r>
          <rPr>
            <sz val="9"/>
            <color indexed="81"/>
            <rFont val="Segoe UI"/>
            <family val="2"/>
          </rPr>
          <t xml:space="preserve">
Passo 4</t>
        </r>
      </text>
    </comment>
    <comment ref="F4" authorId="0" shapeId="0" xr:uid="{2A23DF64-0875-44AF-BD60-AB2BB12E3C8A}">
      <text>
        <r>
          <rPr>
            <b/>
            <sz val="9"/>
            <color indexed="81"/>
            <rFont val="Segoe UI"/>
            <charset val="1"/>
          </rPr>
          <t>Anderson Herz:</t>
        </r>
        <r>
          <rPr>
            <sz val="9"/>
            <color indexed="81"/>
            <rFont val="Segoe UI"/>
            <charset val="1"/>
          </rPr>
          <t xml:space="preserve">
Utilizar a seguinte fórmula:
previsão = previsão último período + α * (demanda útimo período + previsão último período)</t>
        </r>
      </text>
    </comment>
    <comment ref="G4" authorId="0" shapeId="0" xr:uid="{F4C71748-EB18-4369-9E6C-54D5AF904E2C}">
      <text>
        <r>
          <rPr>
            <b/>
            <sz val="9"/>
            <color indexed="81"/>
            <rFont val="Segoe UI"/>
            <family val="2"/>
          </rPr>
          <t>Anderson Herz:</t>
        </r>
        <r>
          <rPr>
            <sz val="9"/>
            <color indexed="81"/>
            <rFont val="Segoe UI"/>
            <family val="2"/>
          </rPr>
          <t xml:space="preserve">
Passo 2</t>
        </r>
      </text>
    </comment>
    <comment ref="H4" authorId="0" shapeId="0" xr:uid="{E71E87FD-7831-405D-B582-0701D74C8CC4}">
      <text>
        <r>
          <rPr>
            <b/>
            <sz val="9"/>
            <color indexed="81"/>
            <rFont val="Segoe UI"/>
            <family val="2"/>
          </rPr>
          <t>Anderson Herz:</t>
        </r>
        <r>
          <rPr>
            <sz val="9"/>
            <color indexed="81"/>
            <rFont val="Segoe UI"/>
            <family val="2"/>
          </rPr>
          <t xml:space="preserve">
Passo 3</t>
        </r>
      </text>
    </comment>
    <comment ref="J4" authorId="0" shapeId="0" xr:uid="{A986CEA8-9562-45BE-B68D-20E907C37007}">
      <text>
        <r>
          <rPr>
            <b/>
            <sz val="9"/>
            <color indexed="81"/>
            <rFont val="Segoe UI"/>
            <family val="2"/>
          </rPr>
          <t>Anderson Herz:</t>
        </r>
        <r>
          <rPr>
            <sz val="9"/>
            <color indexed="81"/>
            <rFont val="Segoe UI"/>
            <family val="2"/>
          </rPr>
          <t xml:space="preserve">
Passo 5
</t>
        </r>
      </text>
    </comment>
    <comment ref="P5" authorId="0" shapeId="0" xr:uid="{28F15155-65F4-48B4-A05A-8FE7EB6B8994}">
      <text>
        <r>
          <rPr>
            <b/>
            <sz val="9"/>
            <color indexed="81"/>
            <rFont val="Segoe UI"/>
            <charset val="1"/>
          </rPr>
          <t>Anderson Herz: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b/>
            <sz val="9"/>
            <color indexed="81"/>
            <rFont val="Segoe UI"/>
            <family val="2"/>
          </rPr>
          <t xml:space="preserve">= Prev. Últ. Per. + (α * (Dem. Últ. Per - Prev. Últ. Per))
</t>
        </r>
        <r>
          <rPr>
            <sz val="9"/>
            <color indexed="81"/>
            <rFont val="Segoe UI"/>
            <family val="2"/>
          </rPr>
          <t>37,1145 + (0,3 * (40 - 37,1145)) = 37,98015</t>
        </r>
      </text>
    </comment>
    <comment ref="P8" authorId="0" shapeId="0" xr:uid="{FDC2BB0D-309D-4A49-B62F-3ACEBD3E9FF9}">
      <text>
        <r>
          <rPr>
            <b/>
            <sz val="9"/>
            <color indexed="81"/>
            <rFont val="Segoe UI"/>
            <family val="2"/>
          </rPr>
          <t>Anderson Herz: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= Prev. Últ. Per. + (α * (Dem. Últ. Per - Prev. Últ. Per))</t>
        </r>
        <r>
          <rPr>
            <sz val="9"/>
            <color indexed="81"/>
            <rFont val="Segoe UI"/>
            <family val="2"/>
          </rPr>
          <t xml:space="preserve">
37,98015 + (0,3 * (37,98015 - 37,98015)) = 37,98015</t>
        </r>
      </text>
    </comment>
    <comment ref="H12" authorId="0" shapeId="0" xr:uid="{B5672349-79AD-4D63-A1DD-D2BD144D138A}">
      <text>
        <r>
          <rPr>
            <b/>
            <sz val="9"/>
            <color indexed="81"/>
            <rFont val="Segoe UI"/>
            <family val="2"/>
          </rPr>
          <t>Anderson Herz:</t>
        </r>
        <r>
          <rPr>
            <sz val="9"/>
            <color indexed="81"/>
            <rFont val="Segoe UI"/>
            <family val="2"/>
          </rPr>
          <t xml:space="preserve">
Passo 1</t>
        </r>
      </text>
    </comment>
    <comment ref="J12" authorId="0" shapeId="0" xr:uid="{14449163-6369-46D7-B0DB-1626C1123015}">
      <text>
        <r>
          <rPr>
            <b/>
            <sz val="9"/>
            <color indexed="81"/>
            <rFont val="Segoe UI"/>
            <family val="2"/>
          </rPr>
          <t>Anderson Herz:</t>
        </r>
        <r>
          <rPr>
            <sz val="9"/>
            <color indexed="81"/>
            <rFont val="Segoe UI"/>
            <family val="2"/>
          </rPr>
          <t xml:space="preserve">
Passo 4</t>
        </r>
      </text>
    </comment>
    <comment ref="F13" authorId="0" shapeId="0" xr:uid="{6311B316-0684-4404-B66B-E3B1E3CB958D}">
      <text>
        <r>
          <rPr>
            <b/>
            <sz val="9"/>
            <color indexed="81"/>
            <rFont val="Segoe UI"/>
            <charset val="1"/>
          </rPr>
          <t>Anderson Herz:</t>
        </r>
        <r>
          <rPr>
            <sz val="9"/>
            <color indexed="81"/>
            <rFont val="Segoe UI"/>
            <charset val="1"/>
          </rPr>
          <t xml:space="preserve">
Utilizar a seguinte fórmula:
previsão = previsão último período + α * (demanda útimo período + previsão último período)</t>
        </r>
      </text>
    </comment>
    <comment ref="G13" authorId="0" shapeId="0" xr:uid="{C703911A-B39C-43C5-BAA5-7AF2161CCA43}">
      <text>
        <r>
          <rPr>
            <b/>
            <sz val="9"/>
            <color indexed="81"/>
            <rFont val="Segoe UI"/>
            <family val="2"/>
          </rPr>
          <t>Anderson Herz:</t>
        </r>
        <r>
          <rPr>
            <sz val="9"/>
            <color indexed="81"/>
            <rFont val="Segoe UI"/>
            <family val="2"/>
          </rPr>
          <t xml:space="preserve">
Passo 2</t>
        </r>
      </text>
    </comment>
    <comment ref="H13" authorId="0" shapeId="0" xr:uid="{94C3EF5B-B9ED-4D43-B873-81E4FD1D473E}">
      <text>
        <r>
          <rPr>
            <b/>
            <sz val="9"/>
            <color indexed="81"/>
            <rFont val="Segoe UI"/>
            <family val="2"/>
          </rPr>
          <t>Anderson Herz:</t>
        </r>
        <r>
          <rPr>
            <sz val="9"/>
            <color indexed="81"/>
            <rFont val="Segoe UI"/>
            <family val="2"/>
          </rPr>
          <t xml:space="preserve">
Passo 3</t>
        </r>
      </text>
    </comment>
    <comment ref="J13" authorId="0" shapeId="0" xr:uid="{704FD0CF-EF3E-492B-91D9-D87B6F895FD8}">
      <text>
        <r>
          <rPr>
            <b/>
            <sz val="9"/>
            <color indexed="81"/>
            <rFont val="Segoe UI"/>
            <family val="2"/>
          </rPr>
          <t>Anderson Herz:</t>
        </r>
        <r>
          <rPr>
            <sz val="9"/>
            <color indexed="81"/>
            <rFont val="Segoe UI"/>
            <family val="2"/>
          </rPr>
          <t xml:space="preserve">
Passo 5
</t>
        </r>
      </text>
    </comment>
    <comment ref="P14" authorId="0" shapeId="0" xr:uid="{164BB074-0BF8-4D02-B3A0-8F3F675A7218}">
      <text>
        <r>
          <rPr>
            <b/>
            <sz val="9"/>
            <color indexed="81"/>
            <rFont val="Segoe UI"/>
            <charset val="1"/>
          </rPr>
          <t>Anderson Herz: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b/>
            <sz val="9"/>
            <color indexed="81"/>
            <rFont val="Segoe UI"/>
            <family val="2"/>
          </rPr>
          <t xml:space="preserve">= Prev. Últ. Per. + (α * (Dem. Últ. Per - Prev. Últ. Per))
</t>
        </r>
        <r>
          <rPr>
            <sz val="9"/>
            <color indexed="81"/>
            <rFont val="Segoe UI"/>
            <family val="2"/>
          </rPr>
          <t>37,1145 + (0,3 * (40 - 37,1145)) = 37,98015</t>
        </r>
      </text>
    </comment>
    <comment ref="H21" authorId="0" shapeId="0" xr:uid="{97D8953E-6916-4AB7-BB14-2F599E22F06C}">
      <text>
        <r>
          <rPr>
            <b/>
            <sz val="9"/>
            <color indexed="81"/>
            <rFont val="Segoe UI"/>
            <family val="2"/>
          </rPr>
          <t>Anderson Herz:</t>
        </r>
        <r>
          <rPr>
            <sz val="9"/>
            <color indexed="81"/>
            <rFont val="Segoe UI"/>
            <family val="2"/>
          </rPr>
          <t xml:space="preserve">
Passo 1</t>
        </r>
      </text>
    </comment>
    <comment ref="J21" authorId="0" shapeId="0" xr:uid="{654B220F-20C4-4BA8-A1F9-64A0E0EBAB04}">
      <text>
        <r>
          <rPr>
            <b/>
            <sz val="9"/>
            <color indexed="81"/>
            <rFont val="Segoe UI"/>
            <family val="2"/>
          </rPr>
          <t>Anderson Herz:</t>
        </r>
        <r>
          <rPr>
            <sz val="9"/>
            <color indexed="81"/>
            <rFont val="Segoe UI"/>
            <family val="2"/>
          </rPr>
          <t xml:space="preserve">
Passo 4</t>
        </r>
      </text>
    </comment>
    <comment ref="F22" authorId="0" shapeId="0" xr:uid="{E7577EE0-A1B8-4866-8C83-D243F808519D}">
      <text>
        <r>
          <rPr>
            <b/>
            <sz val="9"/>
            <color indexed="81"/>
            <rFont val="Segoe UI"/>
            <charset val="1"/>
          </rPr>
          <t>Anderson Herz:</t>
        </r>
        <r>
          <rPr>
            <sz val="9"/>
            <color indexed="81"/>
            <rFont val="Segoe UI"/>
            <charset val="1"/>
          </rPr>
          <t xml:space="preserve">
Utilizar a seguinte fórmula:
previsão = previsão último período + α * (demanda útimo período + previsão último período)</t>
        </r>
      </text>
    </comment>
    <comment ref="G22" authorId="0" shapeId="0" xr:uid="{C7686C8F-3E9C-48DC-A457-10BD71B74CED}">
      <text>
        <r>
          <rPr>
            <b/>
            <sz val="9"/>
            <color indexed="81"/>
            <rFont val="Segoe UI"/>
            <family val="2"/>
          </rPr>
          <t>Anderson Herz:</t>
        </r>
        <r>
          <rPr>
            <sz val="9"/>
            <color indexed="81"/>
            <rFont val="Segoe UI"/>
            <family val="2"/>
          </rPr>
          <t xml:space="preserve">
Passo 2</t>
        </r>
      </text>
    </comment>
    <comment ref="H22" authorId="0" shapeId="0" xr:uid="{EDAC999B-7CB0-4EBA-81EC-DCF8D8D16099}">
      <text>
        <r>
          <rPr>
            <b/>
            <sz val="9"/>
            <color indexed="81"/>
            <rFont val="Segoe UI"/>
            <family val="2"/>
          </rPr>
          <t>Anderson Herz:</t>
        </r>
        <r>
          <rPr>
            <sz val="9"/>
            <color indexed="81"/>
            <rFont val="Segoe UI"/>
            <family val="2"/>
          </rPr>
          <t xml:space="preserve">
Passo 3</t>
        </r>
      </text>
    </comment>
    <comment ref="J22" authorId="0" shapeId="0" xr:uid="{12E0E6DB-05ED-4F52-9814-6EFA77686401}">
      <text>
        <r>
          <rPr>
            <b/>
            <sz val="9"/>
            <color indexed="81"/>
            <rFont val="Segoe UI"/>
            <family val="2"/>
          </rPr>
          <t>Anderson Herz:</t>
        </r>
        <r>
          <rPr>
            <sz val="9"/>
            <color indexed="81"/>
            <rFont val="Segoe UI"/>
            <family val="2"/>
          </rPr>
          <t xml:space="preserve">
Passo 5
</t>
        </r>
      </text>
    </comment>
    <comment ref="P22" authorId="0" shapeId="0" xr:uid="{66702967-14A8-4B26-89D3-303193CEF4DE}">
      <text>
        <r>
          <rPr>
            <b/>
            <sz val="9"/>
            <color indexed="81"/>
            <rFont val="Segoe UI"/>
            <charset val="1"/>
          </rPr>
          <t>Anderson Herz: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b/>
            <sz val="9"/>
            <color indexed="81"/>
            <rFont val="Segoe UI"/>
            <family val="2"/>
          </rPr>
          <t xml:space="preserve">= Prev. Últ. Per. + (α * (Dem. Últ. Per - Prev. Últ. Per))
</t>
        </r>
        <r>
          <rPr>
            <sz val="9"/>
            <color indexed="81"/>
            <rFont val="Segoe UI"/>
            <family val="2"/>
          </rPr>
          <t>37,1145 + (0,3 * (40 - 37,1145)) = 37,98015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Anderson Herz</author>
  </authors>
  <commentList>
    <comment ref="H3" authorId="0" shapeId="0" xr:uid="{53DDA4BC-6C8C-4D43-86B9-3CEA5BD4213A}">
      <text>
        <r>
          <rPr>
            <b/>
            <sz val="9"/>
            <color indexed="81"/>
            <rFont val="Segoe UI"/>
            <charset val="1"/>
          </rPr>
          <t>Anderson Herz:</t>
        </r>
        <r>
          <rPr>
            <sz val="9"/>
            <color indexed="81"/>
            <rFont val="Segoe UI"/>
            <charset val="1"/>
          </rPr>
          <t xml:space="preserve">
= soma de x²</t>
        </r>
      </text>
    </comment>
    <comment ref="K3" authorId="0" shapeId="0" xr:uid="{32381F6B-809D-4BA3-9FFB-EC51C8186E6B}">
      <text>
        <r>
          <rPr>
            <b/>
            <sz val="9"/>
            <color indexed="81"/>
            <rFont val="Segoe UI"/>
            <charset val="1"/>
          </rPr>
          <t>Anderson Herz:</t>
        </r>
        <r>
          <rPr>
            <sz val="9"/>
            <color indexed="81"/>
            <rFont val="Segoe UI"/>
            <charset val="1"/>
          </rPr>
          <t xml:space="preserve">
= soma de x² * soma de y</t>
        </r>
      </text>
    </comment>
    <comment ref="N3" authorId="0" shapeId="0" xr:uid="{630AAC21-0236-498E-92BE-2E0ECCFCFDD7}">
      <text>
        <r>
          <rPr>
            <b/>
            <sz val="9"/>
            <color indexed="81"/>
            <rFont val="Segoe UI"/>
            <charset val="1"/>
          </rPr>
          <t>Anderson Herz:</t>
        </r>
        <r>
          <rPr>
            <sz val="9"/>
            <color indexed="81"/>
            <rFont val="Segoe UI"/>
            <charset val="1"/>
          </rPr>
          <t xml:space="preserve">
= nº períodos histórico * soma de xy</t>
        </r>
      </text>
    </comment>
    <comment ref="C4" authorId="0" shapeId="0" xr:uid="{59463CD4-D9B8-4C1B-A449-24A8E238F796}">
      <text>
        <r>
          <rPr>
            <b/>
            <sz val="9"/>
            <color indexed="81"/>
            <rFont val="Segoe UI"/>
            <charset val="1"/>
          </rPr>
          <t>Anderson Herz:</t>
        </r>
        <r>
          <rPr>
            <sz val="9"/>
            <color indexed="81"/>
            <rFont val="Segoe UI"/>
            <charset val="1"/>
          </rPr>
          <t xml:space="preserve">
= quantidade do período</t>
        </r>
      </text>
    </comment>
    <comment ref="D4" authorId="0" shapeId="0" xr:uid="{365CC83E-9DF6-4886-85E1-660D432195D0}">
      <text>
        <r>
          <rPr>
            <b/>
            <sz val="9"/>
            <color indexed="81"/>
            <rFont val="Segoe UI"/>
            <charset val="1"/>
          </rPr>
          <t>Anderson Herz:</t>
        </r>
        <r>
          <rPr>
            <sz val="9"/>
            <color indexed="81"/>
            <rFont val="Segoe UI"/>
            <charset val="1"/>
          </rPr>
          <t xml:space="preserve">
= nº do período</t>
        </r>
      </text>
    </comment>
    <comment ref="H4" authorId="0" shapeId="0" xr:uid="{71403E71-2BA5-4AF1-A740-E26F18FFCF05}">
      <text>
        <r>
          <rPr>
            <b/>
            <sz val="9"/>
            <color indexed="81"/>
            <rFont val="Segoe UI"/>
            <charset val="1"/>
          </rPr>
          <t>Anderson Herz:</t>
        </r>
        <r>
          <rPr>
            <sz val="9"/>
            <color indexed="81"/>
            <rFont val="Segoe UI"/>
            <charset val="1"/>
          </rPr>
          <t xml:space="preserve">
= soma de y</t>
        </r>
      </text>
    </comment>
    <comment ref="K4" authorId="0" shapeId="0" xr:uid="{1A2DF116-AAFA-43AE-8099-2C4A0A4049B7}">
      <text>
        <r>
          <rPr>
            <b/>
            <sz val="9"/>
            <color indexed="81"/>
            <rFont val="Segoe UI"/>
            <charset val="1"/>
          </rPr>
          <t>Anderson Herz:</t>
        </r>
        <r>
          <rPr>
            <sz val="9"/>
            <color indexed="81"/>
            <rFont val="Segoe UI"/>
            <charset val="1"/>
          </rPr>
          <t xml:space="preserve">
= soma de x * soma de xy</t>
        </r>
      </text>
    </comment>
    <comment ref="N4" authorId="0" shapeId="0" xr:uid="{CE64427D-0AC9-4D22-9CAD-608CB1DCBFF9}">
      <text>
        <r>
          <rPr>
            <b/>
            <sz val="9"/>
            <color indexed="81"/>
            <rFont val="Segoe UI"/>
            <charset val="1"/>
          </rPr>
          <t>Anderson Herz:</t>
        </r>
        <r>
          <rPr>
            <sz val="9"/>
            <color indexed="81"/>
            <rFont val="Segoe UI"/>
            <charset val="1"/>
          </rPr>
          <t xml:space="preserve">
= soma de x * soma de y</t>
        </r>
      </text>
    </comment>
    <comment ref="E5" authorId="0" shapeId="0" xr:uid="{E94A7958-C5A0-4579-A1BE-72892873705F}">
      <text>
        <r>
          <rPr>
            <b/>
            <sz val="9"/>
            <color indexed="81"/>
            <rFont val="Segoe UI"/>
            <charset val="1"/>
          </rPr>
          <t>Anderson Herz:</t>
        </r>
        <r>
          <rPr>
            <sz val="9"/>
            <color indexed="81"/>
            <rFont val="Segoe UI"/>
            <charset val="1"/>
          </rPr>
          <t xml:space="preserve">
= x* x</t>
        </r>
      </text>
    </comment>
    <comment ref="F5" authorId="0" shapeId="0" xr:uid="{F331B25C-1472-4D93-BFC5-F2CFCFE4CD9B}">
      <text>
        <r>
          <rPr>
            <b/>
            <sz val="9"/>
            <color indexed="81"/>
            <rFont val="Segoe UI"/>
            <charset val="1"/>
          </rPr>
          <t>Anderson Herz:</t>
        </r>
        <r>
          <rPr>
            <sz val="9"/>
            <color indexed="81"/>
            <rFont val="Segoe UI"/>
            <charset val="1"/>
          </rPr>
          <t xml:space="preserve">
= x * y</t>
        </r>
      </text>
    </comment>
    <comment ref="H5" authorId="0" shapeId="0" xr:uid="{0DEE88B0-7EA8-42B0-86F5-CD16ABEECE73}">
      <text>
        <r>
          <rPr>
            <b/>
            <sz val="9"/>
            <color indexed="81"/>
            <rFont val="Segoe UI"/>
            <charset val="1"/>
          </rPr>
          <t>Anderson Herz:</t>
        </r>
        <r>
          <rPr>
            <sz val="9"/>
            <color indexed="81"/>
            <rFont val="Segoe UI"/>
            <charset val="1"/>
          </rPr>
          <t xml:space="preserve">
= soma de x</t>
        </r>
      </text>
    </comment>
    <comment ref="K5" authorId="0" shapeId="0" xr:uid="{8E2E6288-54E0-4A62-AB16-FB11DF1BD7CA}">
      <text>
        <r>
          <rPr>
            <b/>
            <sz val="9"/>
            <color indexed="81"/>
            <rFont val="Segoe UI"/>
            <charset val="1"/>
          </rPr>
          <t>Anderson Herz:</t>
        </r>
        <r>
          <rPr>
            <sz val="9"/>
            <color indexed="81"/>
            <rFont val="Segoe UI"/>
            <charset val="1"/>
          </rPr>
          <t xml:space="preserve">
= nº períodos histórico * soma de x²</t>
        </r>
      </text>
    </comment>
    <comment ref="N5" authorId="0" shapeId="0" xr:uid="{04E4AD7F-3EE9-462D-BF48-28059E5135AE}">
      <text>
        <r>
          <rPr>
            <b/>
            <sz val="9"/>
            <color indexed="81"/>
            <rFont val="Segoe UI"/>
            <charset val="1"/>
          </rPr>
          <t>Anderson Herz:</t>
        </r>
        <r>
          <rPr>
            <sz val="9"/>
            <color indexed="81"/>
            <rFont val="Segoe UI"/>
            <charset val="1"/>
          </rPr>
          <t xml:space="preserve">
= nº períodos histórico * soma de x²</t>
        </r>
      </text>
    </comment>
    <comment ref="H6" authorId="0" shapeId="0" xr:uid="{4117250B-E9E0-40BE-82FA-9C999B0549F9}">
      <text>
        <r>
          <rPr>
            <b/>
            <sz val="9"/>
            <color indexed="81"/>
            <rFont val="Segoe UI"/>
            <charset val="1"/>
          </rPr>
          <t>Anderson Herz:</t>
        </r>
        <r>
          <rPr>
            <sz val="9"/>
            <color indexed="81"/>
            <rFont val="Segoe UI"/>
            <charset val="1"/>
          </rPr>
          <t xml:space="preserve">
= soma de xy</t>
        </r>
      </text>
    </comment>
    <comment ref="K6" authorId="0" shapeId="0" xr:uid="{9C85792D-E865-48E3-9D63-30B55A2F0C67}">
      <text>
        <r>
          <rPr>
            <b/>
            <sz val="9"/>
            <color indexed="81"/>
            <rFont val="Segoe UI"/>
            <charset val="1"/>
          </rPr>
          <t>Anderson Herz:</t>
        </r>
        <r>
          <rPr>
            <sz val="9"/>
            <color indexed="81"/>
            <rFont val="Segoe UI"/>
            <charset val="1"/>
          </rPr>
          <t xml:space="preserve">
= (soma de x)²</t>
        </r>
      </text>
    </comment>
    <comment ref="N6" authorId="0" shapeId="0" xr:uid="{4B1CB04B-4A78-4D1E-8133-7B9DA942A345}">
      <text>
        <r>
          <rPr>
            <b/>
            <sz val="9"/>
            <color indexed="81"/>
            <rFont val="Segoe UI"/>
            <charset val="1"/>
          </rPr>
          <t>Anderson Herz:</t>
        </r>
        <r>
          <rPr>
            <sz val="9"/>
            <color indexed="81"/>
            <rFont val="Segoe UI"/>
            <charset val="1"/>
          </rPr>
          <t xml:space="preserve">
= (soma de x)²</t>
        </r>
      </text>
    </comment>
    <comment ref="K7" authorId="0" shapeId="0" xr:uid="{9EF0F09F-4046-4B7E-8176-0DE93E152EC6}">
      <text>
        <r>
          <rPr>
            <b/>
            <sz val="9"/>
            <color indexed="81"/>
            <rFont val="Segoe UI"/>
            <charset val="1"/>
          </rPr>
          <t>Anderson Herz:</t>
        </r>
        <r>
          <rPr>
            <sz val="9"/>
            <color indexed="81"/>
            <rFont val="Segoe UI"/>
            <charset val="1"/>
          </rPr>
          <t xml:space="preserve">
= (∑x²∑y - ∑x∑xy) / (n∑x² - (∑x)²)
= (L2 - L3) / (L4 - L5)</t>
        </r>
      </text>
    </comment>
    <comment ref="N7" authorId="0" shapeId="0" xr:uid="{400EC717-030D-44D0-BAB5-227509683750}">
      <text>
        <r>
          <rPr>
            <b/>
            <sz val="9"/>
            <color indexed="81"/>
            <rFont val="Segoe UI"/>
            <charset val="1"/>
          </rPr>
          <t>Anderson Herz:</t>
        </r>
        <r>
          <rPr>
            <sz val="9"/>
            <color indexed="81"/>
            <rFont val="Segoe UI"/>
            <charset val="1"/>
          </rPr>
          <t xml:space="preserve">
= (n∑xy - ∑x∑y) - (n∑x² - (∑x)²)
= (O2 - O3) / (O4 - O5)</t>
        </r>
      </text>
    </comment>
    <comment ref="K11" authorId="0" shapeId="0" xr:uid="{C4E511ED-1970-48CB-84E8-061E8962BC9A}">
      <text>
        <r>
          <rPr>
            <b/>
            <sz val="9"/>
            <color indexed="81"/>
            <rFont val="Segoe UI"/>
            <charset val="1"/>
          </rPr>
          <t>Anderson Herz:</t>
        </r>
        <r>
          <rPr>
            <sz val="9"/>
            <color indexed="81"/>
            <rFont val="Segoe UI"/>
            <charset val="1"/>
          </rPr>
          <t xml:space="preserve">
= (nº período - a) / b
= (G7 - L6) / O6</t>
        </r>
      </text>
    </comment>
    <comment ref="K14" authorId="0" shapeId="0" xr:uid="{ECE020E4-95B7-443E-8782-F0BB22B33528}">
      <text>
        <r>
          <rPr>
            <b/>
            <sz val="9"/>
            <color indexed="81"/>
            <rFont val="Segoe UI"/>
            <charset val="1"/>
          </rPr>
          <t>Anderson Herz:</t>
        </r>
        <r>
          <rPr>
            <sz val="9"/>
            <color indexed="81"/>
            <rFont val="Segoe UI"/>
            <charset val="1"/>
          </rPr>
          <t xml:space="preserve">
= (nº período - a) / b
= (G13 - L6) / O6</t>
        </r>
      </text>
    </comment>
    <comment ref="C22" authorId="0" shapeId="0" xr:uid="{C77D9A78-0AB8-494C-8417-C17D41BD37BC}">
      <text>
        <r>
          <rPr>
            <b/>
            <sz val="9"/>
            <color indexed="81"/>
            <rFont val="Segoe UI"/>
            <charset val="1"/>
          </rPr>
          <t>Anderson Herz:</t>
        </r>
        <r>
          <rPr>
            <sz val="9"/>
            <color indexed="81"/>
            <rFont val="Segoe UI"/>
            <charset val="1"/>
          </rPr>
          <t xml:space="preserve">
Quantidade de períodos do histórico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Anderson Herz</author>
  </authors>
  <commentList>
    <comment ref="I5" authorId="0" shapeId="0" xr:uid="{4D32360D-3DED-4A0A-8E10-5537131803E3}">
      <text>
        <r>
          <rPr>
            <b/>
            <sz val="9"/>
            <color indexed="81"/>
            <rFont val="Segoe UI"/>
            <charset val="1"/>
          </rPr>
          <t>Anderson Herz:</t>
        </r>
        <r>
          <rPr>
            <sz val="9"/>
            <color indexed="81"/>
            <rFont val="Segoe UI"/>
            <charset val="1"/>
          </rPr>
          <t xml:space="preserve">
Para os casos em qua a UM não aceita decimais.</t>
        </r>
      </text>
    </comment>
  </commentList>
</comments>
</file>

<file path=xl/sharedStrings.xml><?xml version="1.0" encoding="utf-8"?>
<sst xmlns="http://schemas.openxmlformats.org/spreadsheetml/2006/main" count="353" uniqueCount="78">
  <si>
    <t>Periodicidade</t>
  </si>
  <si>
    <t>Data base</t>
  </si>
  <si>
    <t>Per. Histórico</t>
  </si>
  <si>
    <t>Horizonte plan.</t>
  </si>
  <si>
    <t>Periodicidade esp.</t>
  </si>
  <si>
    <t>Data início planejamento</t>
  </si>
  <si>
    <t>Data fim planejamento</t>
  </si>
  <si>
    <t>Início espalhamento</t>
  </si>
  <si>
    <t>Fim espalhamento</t>
  </si>
  <si>
    <t>Início histórico</t>
  </si>
  <si>
    <t>Fim histórico</t>
  </si>
  <si>
    <t>Início previsão</t>
  </si>
  <si>
    <t>Fim previsão</t>
  </si>
  <si>
    <t>Períodos previsão</t>
  </si>
  <si>
    <t>Períodos históricos</t>
  </si>
  <si>
    <t>Parâmetros cálculo</t>
  </si>
  <si>
    <t>Períodos espalhamento</t>
  </si>
  <si>
    <t>Qtd. Períodos</t>
  </si>
  <si>
    <t>Qtde</t>
  </si>
  <si>
    <t>Qtde. Prevista</t>
  </si>
  <si>
    <t>Índice Manual</t>
  </si>
  <si>
    <t>Qtde. inteiro</t>
  </si>
  <si>
    <t>Qtde. fracionada</t>
  </si>
  <si>
    <t>Previsão</t>
  </si>
  <si>
    <t xml:space="preserve">α = </t>
  </si>
  <si>
    <t>Média previsão</t>
  </si>
  <si>
    <t>Período</t>
  </si>
  <si>
    <t>03/set a 02/out</t>
  </si>
  <si>
    <t>04/ago a 02/set</t>
  </si>
  <si>
    <t>03/out a 01/nov</t>
  </si>
  <si>
    <t>02/nov a 01/dez</t>
  </si>
  <si>
    <t>02/dez a 31/dez</t>
  </si>
  <si>
    <t>Passo 1</t>
  </si>
  <si>
    <t>Passo 2</t>
  </si>
  <si>
    <t>Passo 3</t>
  </si>
  <si>
    <t>Passo 4</t>
  </si>
  <si>
    <t>Diferença</t>
  </si>
  <si>
    <t>Quadrado</t>
  </si>
  <si>
    <t>Soma quadrado / (n - 1)</t>
  </si>
  <si>
    <t>Desvio padrão(Raiz da variância)</t>
  </si>
  <si>
    <t>n</t>
  </si>
  <si>
    <t>Número de períodos</t>
  </si>
  <si>
    <t>Cáculo do desvio padrão</t>
  </si>
  <si>
    <t>Amostra</t>
  </si>
  <si>
    <t>x</t>
  </si>
  <si>
    <t>y</t>
  </si>
  <si>
    <t>∑y</t>
  </si>
  <si>
    <t>∑xy</t>
  </si>
  <si>
    <t>xy</t>
  </si>
  <si>
    <t xml:space="preserve">∑x² ∑y </t>
  </si>
  <si>
    <t>∑x ∑xy</t>
  </si>
  <si>
    <t xml:space="preserve">n∑x² </t>
  </si>
  <si>
    <t>(∑x)²</t>
  </si>
  <si>
    <t>a=</t>
  </si>
  <si>
    <t>n∑xy</t>
  </si>
  <si>
    <t xml:space="preserve">∑x ∑y </t>
  </si>
  <si>
    <t>b=</t>
  </si>
  <si>
    <t>∑x²</t>
  </si>
  <si>
    <t>∑x</t>
  </si>
  <si>
    <t>22/jun a 03/ago</t>
  </si>
  <si>
    <t>x²</t>
  </si>
  <si>
    <t>a</t>
  </si>
  <si>
    <t>b</t>
  </si>
  <si>
    <t>Períodos previsão Alfa 0,3</t>
  </si>
  <si>
    <t>Períodos previsão Alfa 0,5</t>
  </si>
  <si>
    <t>Períodos previsão Alfa 0,8</t>
  </si>
  <si>
    <t>Somar as diferenças ao quadrado e dividir por n</t>
  </si>
  <si>
    <t>Tirar a raiz desse resultado.</t>
  </si>
  <si>
    <t>Calcular a diferença entre previsto x realizado.</t>
  </si>
  <si>
    <t>Elevar ao quadrado as diferenças.</t>
  </si>
  <si>
    <t>Períodos</t>
  </si>
  <si>
    <t>Índice manual</t>
  </si>
  <si>
    <t>Média móvel 3</t>
  </si>
  <si>
    <t>Média móvel 6</t>
  </si>
  <si>
    <t>Média simples</t>
  </si>
  <si>
    <t>Alisamento exponencial</t>
  </si>
  <si>
    <t>Tendência</t>
  </si>
  <si>
    <t>Espalhamento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</si>
</sst>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0"/>
    <numFmt numFmtId="165" formatCode="0.00000"/>
    <numFmt numFmtId="166" formatCode="0.0000"/>
    <numFmt numFmtId="167" formatCode=";;;"/>
  </numFmts>
  <fonts count="7" x14ac:knownFonts="1">
    <font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16" fontId="0" fillId="0" borderId="0" xfId="0" applyNumberFormat="1"/>
    <xf numFmtId="0" fontId="0" fillId="0" borderId="1" xfId="0" applyBorder="1"/>
    <xf numFmtId="16" fontId="0" fillId="0" borderId="1" xfId="0" applyNumberForma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6" fontId="0" fillId="0" borderId="7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6" fontId="0" fillId="0" borderId="9" xfId="0" applyNumberFormat="1" applyBorder="1"/>
    <xf numFmtId="16" fontId="0" fillId="0" borderId="11" xfId="0" applyNumberFormat="1" applyBorder="1"/>
    <xf numFmtId="0" fontId="0" fillId="0" borderId="1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11" xfId="0" applyBorder="1" applyAlignment="1">
      <alignment horizontal="right"/>
    </xf>
    <xf numFmtId="165" fontId="0" fillId="0" borderId="9" xfId="0" applyNumberFormat="1" applyBorder="1" applyAlignment="1">
      <alignment horizontal="right"/>
    </xf>
    <xf numFmtId="165" fontId="0" fillId="0" borderId="7" xfId="0" applyNumberFormat="1" applyBorder="1" applyAlignment="1">
      <alignment horizontal="right"/>
    </xf>
    <xf numFmtId="0" fontId="0" fillId="0" borderId="11" xfId="0" applyBorder="1"/>
    <xf numFmtId="0" fontId="0" fillId="0" borderId="14" xfId="0" applyBorder="1"/>
    <xf numFmtId="1" fontId="0" fillId="0" borderId="7" xfId="0" applyNumberFormat="1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18" xfId="0" applyBorder="1"/>
    <xf numFmtId="1" fontId="0" fillId="0" borderId="17" xfId="0" applyNumberFormat="1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19" xfId="0" applyBorder="1" applyAlignment="1">
      <alignment horizontal="right"/>
    </xf>
    <xf numFmtId="1" fontId="0" fillId="0" borderId="20" xfId="0" applyNumberFormat="1" applyBorder="1" applyAlignment="1">
      <alignment horizontal="right"/>
    </xf>
    <xf numFmtId="0" fontId="0" fillId="0" borderId="24" xfId="0" applyBorder="1"/>
    <xf numFmtId="0" fontId="0" fillId="0" borderId="25" xfId="0" applyBorder="1"/>
    <xf numFmtId="0" fontId="0" fillId="0" borderId="5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0" fillId="0" borderId="27" xfId="0" applyBorder="1"/>
    <xf numFmtId="0" fontId="0" fillId="0" borderId="33" xfId="0" applyBorder="1"/>
    <xf numFmtId="0" fontId="0" fillId="0" borderId="24" xfId="0" applyBorder="1" applyAlignment="1">
      <alignment horizontal="right"/>
    </xf>
    <xf numFmtId="0" fontId="0" fillId="0" borderId="6" xfId="0" applyBorder="1" applyAlignment="1">
      <alignment horizontal="right"/>
    </xf>
    <xf numFmtId="165" fontId="0" fillId="0" borderId="7" xfId="0" applyNumberFormat="1" applyBorder="1"/>
    <xf numFmtId="0" fontId="0" fillId="0" borderId="8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34" xfId="0" applyBorder="1" applyAlignment="1">
      <alignment horizontal="left"/>
    </xf>
    <xf numFmtId="16" fontId="0" fillId="0" borderId="25" xfId="0" applyNumberFormat="1" applyBorder="1"/>
    <xf numFmtId="0" fontId="0" fillId="0" borderId="35" xfId="0" applyBorder="1"/>
    <xf numFmtId="0" fontId="0" fillId="0" borderId="36" xfId="0" applyBorder="1"/>
    <xf numFmtId="16" fontId="0" fillId="0" borderId="31" xfId="0" applyNumberFormat="1" applyBorder="1"/>
    <xf numFmtId="0" fontId="0" fillId="0" borderId="31" xfId="0" applyBorder="1" applyAlignment="1">
      <alignment horizontal="right"/>
    </xf>
    <xf numFmtId="0" fontId="0" fillId="0" borderId="37" xfId="0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34" xfId="0" applyBorder="1" applyAlignment="1">
      <alignment horizontal="right"/>
    </xf>
    <xf numFmtId="4" fontId="0" fillId="0" borderId="24" xfId="0" applyNumberForma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22" xfId="0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16" fontId="0" fillId="0" borderId="7" xfId="0" applyNumberFormat="1" applyBorder="1" applyAlignment="1">
      <alignment horizontal="center"/>
    </xf>
    <xf numFmtId="16" fontId="0" fillId="0" borderId="9" xfId="0" applyNumberFormat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0" xfId="0" applyBorder="1"/>
    <xf numFmtId="16" fontId="0" fillId="0" borderId="0" xfId="0" applyNumberFormat="1" applyBorder="1"/>
    <xf numFmtId="0" fontId="0" fillId="0" borderId="34" xfId="0" applyBorder="1"/>
    <xf numFmtId="16" fontId="0" fillId="0" borderId="38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4" xfId="0" applyBorder="1"/>
    <xf numFmtId="10" fontId="0" fillId="0" borderId="45" xfId="0" applyNumberFormat="1" applyBorder="1"/>
    <xf numFmtId="0" fontId="0" fillId="0" borderId="11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0" fontId="5" fillId="0" borderId="0" xfId="0" applyFont="1"/>
    <xf numFmtId="165" fontId="0" fillId="0" borderId="7" xfId="0" applyNumberFormat="1" applyBorder="1" applyAlignment="1">
      <alignment horizontal="center"/>
    </xf>
    <xf numFmtId="16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right"/>
    </xf>
    <xf numFmtId="165" fontId="0" fillId="0" borderId="5" xfId="0" applyNumberFormat="1" applyBorder="1"/>
    <xf numFmtId="0" fontId="0" fillId="2" borderId="14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6" fillId="2" borderId="39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167" fontId="0" fillId="0" borderId="0" xfId="0" applyNumberFormat="1" applyBorder="1"/>
    <xf numFmtId="165" fontId="0" fillId="0" borderId="5" xfId="0" applyNumberFormat="1" applyBorder="1" applyAlignment="1">
      <alignment horizontal="right"/>
    </xf>
    <xf numFmtId="166" fontId="0" fillId="0" borderId="0" xfId="0" applyNumberFormat="1" applyBorder="1"/>
    <xf numFmtId="165" fontId="0" fillId="0" borderId="0" xfId="0" applyNumberFormat="1" applyBorder="1"/>
    <xf numFmtId="4" fontId="0" fillId="0" borderId="26" xfId="0" applyNumberFormat="1" applyBorder="1"/>
    <xf numFmtId="0" fontId="0" fillId="0" borderId="31" xfId="0" applyBorder="1"/>
    <xf numFmtId="0" fontId="0" fillId="2" borderId="26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5" fillId="0" borderId="31" xfId="0" applyFont="1" applyBorder="1"/>
    <xf numFmtId="0" fontId="0" fillId="0" borderId="37" xfId="0" applyBorder="1" applyAlignment="1">
      <alignment horizontal="center"/>
    </xf>
    <xf numFmtId="0" fontId="0" fillId="2" borderId="2" xfId="0" applyFill="1" applyBorder="1" applyAlignment="1">
      <alignment horizontal="right"/>
    </xf>
    <xf numFmtId="0" fontId="0" fillId="2" borderId="3" xfId="0" applyFill="1" applyBorder="1" applyAlignment="1">
      <alignment horizontal="left"/>
    </xf>
    <xf numFmtId="0" fontId="0" fillId="2" borderId="2" xfId="0" applyFill="1" applyBorder="1"/>
    <xf numFmtId="0" fontId="0" fillId="2" borderId="3" xfId="0" applyFill="1" applyBorder="1"/>
    <xf numFmtId="0" fontId="0" fillId="2" borderId="21" xfId="0" applyFill="1" applyBorder="1" applyAlignment="1">
      <alignment horizontal="right"/>
    </xf>
    <xf numFmtId="0" fontId="0" fillId="2" borderId="22" xfId="0" applyFill="1" applyBorder="1" applyAlignment="1">
      <alignment horizontal="left"/>
    </xf>
    <xf numFmtId="0" fontId="6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46" xfId="0" applyBorder="1"/>
    <xf numFmtId="0" fontId="0" fillId="0" borderId="47" xfId="0" applyBorder="1"/>
    <xf numFmtId="165" fontId="0" fillId="0" borderId="1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0" borderId="18" xfId="0" applyBorder="1" applyAlignment="1">
      <alignment horizontal="left"/>
    </xf>
    <xf numFmtId="1" fontId="0" fillId="0" borderId="0" xfId="0" applyNumberFormat="1" applyBorder="1"/>
    <xf numFmtId="16" fontId="0" fillId="0" borderId="31" xfId="0" applyNumberFormat="1" applyBorder="1" applyAlignment="1">
      <alignment horizontal="center"/>
    </xf>
    <xf numFmtId="0" fontId="0" fillId="0" borderId="18" xfId="0" applyBorder="1" applyAlignment="1">
      <alignment horizontal="center"/>
    </xf>
  </cellXfs>
  <cellStyles count="1">
    <cellStyle name="Normal" xfId="0" builtinId="0"/>
  </cellStyles>
  <dxfs count="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C8CA1-836C-455D-9149-D4B3FE701D6E}">
  <sheetPr codeName="Planilha1"/>
  <dimension ref="A1:M22"/>
  <sheetViews>
    <sheetView workbookViewId="0">
      <selection activeCell="F32" sqref="F32"/>
    </sheetView>
  </sheetViews>
  <sheetFormatPr defaultRowHeight="15" x14ac:dyDescent="0.25"/>
  <cols>
    <col min="1" max="1" width="23.42578125" bestFit="1" customWidth="1"/>
    <col min="4" max="4" width="23.42578125" bestFit="1" customWidth="1"/>
    <col min="5" max="5" width="11.140625" customWidth="1"/>
    <col min="7" max="7" width="19.140625" bestFit="1" customWidth="1"/>
    <col min="9" max="9" width="13.140625" bestFit="1" customWidth="1"/>
    <col min="11" max="11" width="19.140625" bestFit="1" customWidth="1"/>
    <col min="12" max="12" width="9.140625" customWidth="1"/>
    <col min="13" max="13" width="9.28515625" customWidth="1"/>
  </cols>
  <sheetData>
    <row r="1" spans="1:12" ht="15.75" thickBot="1" x14ac:dyDescent="0.3">
      <c r="A1" s="61" t="s">
        <v>70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3"/>
    </row>
    <row r="2" spans="1:12" ht="15.75" thickBot="1" x14ac:dyDescent="0.3">
      <c r="A2" s="54"/>
      <c r="B2" s="56"/>
      <c r="C2" s="56"/>
      <c r="D2" s="56"/>
      <c r="E2" s="56"/>
      <c r="F2" s="56"/>
      <c r="G2" s="56"/>
      <c r="H2" s="56"/>
      <c r="I2" s="56"/>
      <c r="J2" s="56"/>
      <c r="K2" s="56"/>
      <c r="L2" s="55"/>
    </row>
    <row r="3" spans="1:12" ht="15.75" thickBot="1" x14ac:dyDescent="0.3">
      <c r="A3" s="65" t="s">
        <v>15</v>
      </c>
      <c r="B3" s="63"/>
      <c r="C3" s="72"/>
      <c r="D3" s="65" t="s">
        <v>14</v>
      </c>
      <c r="E3" s="63"/>
      <c r="F3" s="72"/>
      <c r="G3" s="65" t="s">
        <v>13</v>
      </c>
      <c r="H3" s="62"/>
      <c r="I3" s="63"/>
      <c r="J3" s="72"/>
      <c r="K3" s="65" t="s">
        <v>16</v>
      </c>
      <c r="L3" s="63"/>
    </row>
    <row r="4" spans="1:12" x14ac:dyDescent="0.25">
      <c r="A4" s="4"/>
      <c r="B4" s="5"/>
      <c r="C4" s="72"/>
      <c r="D4" s="57"/>
      <c r="E4" s="58"/>
      <c r="F4" s="72"/>
      <c r="G4" s="57"/>
      <c r="H4" s="70"/>
      <c r="I4" s="58"/>
      <c r="J4" s="72"/>
      <c r="K4" s="57"/>
      <c r="L4" s="58"/>
    </row>
    <row r="5" spans="1:12" x14ac:dyDescent="0.25">
      <c r="A5" s="6" t="s">
        <v>1</v>
      </c>
      <c r="B5" s="7">
        <v>44927</v>
      </c>
      <c r="C5" s="72"/>
      <c r="D5" s="6" t="s">
        <v>10</v>
      </c>
      <c r="E5" s="68">
        <f>(B5-1)</f>
        <v>44926</v>
      </c>
      <c r="F5" s="72"/>
      <c r="G5" s="6" t="s">
        <v>11</v>
      </c>
      <c r="H5" s="76">
        <f>B5</f>
        <v>44927</v>
      </c>
      <c r="I5" s="7" t="s">
        <v>17</v>
      </c>
      <c r="J5" s="72"/>
      <c r="K5" s="6" t="s">
        <v>7</v>
      </c>
      <c r="L5" s="68">
        <f>B5</f>
        <v>44927</v>
      </c>
    </row>
    <row r="6" spans="1:12" x14ac:dyDescent="0.25">
      <c r="A6" s="6" t="s">
        <v>0</v>
      </c>
      <c r="B6" s="8">
        <v>30</v>
      </c>
      <c r="C6" s="72"/>
      <c r="D6" s="6" t="s">
        <v>9</v>
      </c>
      <c r="E6" s="68">
        <f>(E5-(B6-1))</f>
        <v>44897</v>
      </c>
      <c r="F6" s="72"/>
      <c r="G6" s="6" t="s">
        <v>12</v>
      </c>
      <c r="H6" s="76">
        <f>B5+(B6-1)</f>
        <v>44956</v>
      </c>
      <c r="I6" s="78">
        <v>3</v>
      </c>
      <c r="J6" s="72"/>
      <c r="K6" s="6" t="s">
        <v>8</v>
      </c>
      <c r="L6" s="68">
        <f>(B5+B9-1)</f>
        <v>44939</v>
      </c>
    </row>
    <row r="7" spans="1:12" x14ac:dyDescent="0.25">
      <c r="A7" s="6" t="s">
        <v>2</v>
      </c>
      <c r="B7" s="8">
        <v>6</v>
      </c>
      <c r="C7" s="72"/>
      <c r="D7" s="66"/>
      <c r="E7" s="67"/>
      <c r="F7" s="72"/>
      <c r="G7" s="66"/>
      <c r="H7" s="71"/>
      <c r="I7" s="67"/>
      <c r="J7" s="72"/>
      <c r="K7" s="66"/>
      <c r="L7" s="67"/>
    </row>
    <row r="8" spans="1:12" x14ac:dyDescent="0.25">
      <c r="A8" s="6" t="s">
        <v>3</v>
      </c>
      <c r="B8" s="8">
        <v>2</v>
      </c>
      <c r="C8" s="72"/>
      <c r="D8" s="6" t="s">
        <v>10</v>
      </c>
      <c r="E8" s="68">
        <f>E6-1</f>
        <v>44896</v>
      </c>
      <c r="F8" s="72"/>
      <c r="G8" s="6" t="s">
        <v>11</v>
      </c>
      <c r="H8" s="76">
        <f>(H6+1)</f>
        <v>44957</v>
      </c>
      <c r="I8" s="7" t="s">
        <v>17</v>
      </c>
      <c r="J8" s="72"/>
      <c r="K8" s="6" t="s">
        <v>7</v>
      </c>
      <c r="L8" s="68">
        <f>(L6+1)</f>
        <v>44940</v>
      </c>
    </row>
    <row r="9" spans="1:12" ht="15.75" thickBot="1" x14ac:dyDescent="0.3">
      <c r="A9" s="9" t="s">
        <v>4</v>
      </c>
      <c r="B9" s="10">
        <v>13</v>
      </c>
      <c r="C9" s="72"/>
      <c r="D9" s="6" t="s">
        <v>9</v>
      </c>
      <c r="E9" s="68">
        <f>(E8-(B6-1))</f>
        <v>44867</v>
      </c>
      <c r="F9" s="72"/>
      <c r="G9" s="9" t="s">
        <v>12</v>
      </c>
      <c r="H9" s="77">
        <f>(H8+(B6-1))</f>
        <v>44986</v>
      </c>
      <c r="I9" s="79">
        <v>2</v>
      </c>
      <c r="J9" s="73"/>
      <c r="K9" s="6" t="s">
        <v>8</v>
      </c>
      <c r="L9" s="68">
        <f>(L8+B9-1)</f>
        <v>44952</v>
      </c>
    </row>
    <row r="10" spans="1:12" ht="15.75" thickBot="1" x14ac:dyDescent="0.3">
      <c r="A10" s="4"/>
      <c r="B10" s="72"/>
      <c r="C10" s="72"/>
      <c r="D10" s="66"/>
      <c r="E10" s="67"/>
      <c r="F10" s="72"/>
      <c r="G10" s="72"/>
      <c r="H10" s="72"/>
      <c r="I10" s="72"/>
      <c r="J10" s="73"/>
      <c r="K10" s="66"/>
      <c r="L10" s="67"/>
    </row>
    <row r="11" spans="1:12" x14ac:dyDescent="0.25">
      <c r="A11" s="29" t="s">
        <v>5</v>
      </c>
      <c r="B11" s="44">
        <f>(B5)</f>
        <v>44927</v>
      </c>
      <c r="C11" s="72"/>
      <c r="D11" s="6" t="s">
        <v>10</v>
      </c>
      <c r="E11" s="68">
        <f>E9-1</f>
        <v>44866</v>
      </c>
      <c r="F11" s="72"/>
      <c r="G11" s="72"/>
      <c r="H11" s="72"/>
      <c r="I11" s="72"/>
      <c r="J11" s="72"/>
      <c r="K11" s="6" t="s">
        <v>7</v>
      </c>
      <c r="L11" s="68">
        <f>L9+1</f>
        <v>44953</v>
      </c>
    </row>
    <row r="12" spans="1:12" ht="15.75" thickBot="1" x14ac:dyDescent="0.3">
      <c r="A12" s="9" t="s">
        <v>6</v>
      </c>
      <c r="B12" s="11">
        <f>(B5+(B6*B8)-1)</f>
        <v>44986</v>
      </c>
      <c r="C12" s="72"/>
      <c r="D12" s="6" t="s">
        <v>9</v>
      </c>
      <c r="E12" s="68">
        <f>(E11-(B6-1))</f>
        <v>44837</v>
      </c>
      <c r="F12" s="72"/>
      <c r="G12" s="72"/>
      <c r="H12" s="72"/>
      <c r="I12" s="72"/>
      <c r="J12" s="72"/>
      <c r="K12" s="6" t="s">
        <v>8</v>
      </c>
      <c r="L12" s="68">
        <f>L11+B9-1</f>
        <v>44965</v>
      </c>
    </row>
    <row r="13" spans="1:12" x14ac:dyDescent="0.25">
      <c r="A13" s="4"/>
      <c r="B13" s="72"/>
      <c r="C13" s="72"/>
      <c r="D13" s="66"/>
      <c r="E13" s="67"/>
      <c r="F13" s="72"/>
      <c r="G13" s="72"/>
      <c r="H13" s="72"/>
      <c r="I13" s="72"/>
      <c r="J13" s="72"/>
      <c r="K13" s="66"/>
      <c r="L13" s="67"/>
    </row>
    <row r="14" spans="1:12" x14ac:dyDescent="0.25">
      <c r="A14" s="4"/>
      <c r="B14" s="72"/>
      <c r="C14" s="72"/>
      <c r="D14" s="6" t="s">
        <v>10</v>
      </c>
      <c r="E14" s="68">
        <f>E12-1</f>
        <v>44836</v>
      </c>
      <c r="F14" s="72"/>
      <c r="G14" s="72"/>
      <c r="H14" s="72"/>
      <c r="I14" s="72"/>
      <c r="J14" s="72"/>
      <c r="K14" s="6" t="s">
        <v>7</v>
      </c>
      <c r="L14" s="68">
        <f>L12+1</f>
        <v>44966</v>
      </c>
    </row>
    <row r="15" spans="1:12" x14ac:dyDescent="0.25">
      <c r="A15" s="4"/>
      <c r="B15" s="72"/>
      <c r="C15" s="72"/>
      <c r="D15" s="6" t="s">
        <v>9</v>
      </c>
      <c r="E15" s="68">
        <f>(E14-(B6-1))</f>
        <v>44807</v>
      </c>
      <c r="F15" s="72"/>
      <c r="G15" s="72"/>
      <c r="H15" s="72"/>
      <c r="I15" s="72"/>
      <c r="J15" s="72"/>
      <c r="K15" s="6" t="s">
        <v>8</v>
      </c>
      <c r="L15" s="68">
        <f>L14+B9-1</f>
        <v>44978</v>
      </c>
    </row>
    <row r="16" spans="1:12" x14ac:dyDescent="0.25">
      <c r="A16" s="4"/>
      <c r="B16" s="72"/>
      <c r="C16" s="72"/>
      <c r="D16" s="66"/>
      <c r="E16" s="67"/>
      <c r="F16" s="72"/>
      <c r="G16" s="72"/>
      <c r="H16" s="72"/>
      <c r="I16" s="72"/>
      <c r="J16" s="72"/>
      <c r="K16" s="66"/>
      <c r="L16" s="67"/>
    </row>
    <row r="17" spans="1:13" ht="15.75" thickBot="1" x14ac:dyDescent="0.3">
      <c r="A17" s="4"/>
      <c r="B17" s="72"/>
      <c r="C17" s="72"/>
      <c r="D17" s="6" t="s">
        <v>10</v>
      </c>
      <c r="E17" s="68">
        <f>E15-1</f>
        <v>44806</v>
      </c>
      <c r="F17" s="72"/>
      <c r="G17" s="72"/>
      <c r="H17" s="72"/>
      <c r="I17" s="72"/>
      <c r="J17" s="72"/>
      <c r="K17" s="6" t="s">
        <v>7</v>
      </c>
      <c r="L17" s="68">
        <f>L15+1</f>
        <v>44979</v>
      </c>
    </row>
    <row r="18" spans="1:13" ht="15.75" thickBot="1" x14ac:dyDescent="0.3">
      <c r="A18" s="4"/>
      <c r="B18" s="72"/>
      <c r="C18" s="72"/>
      <c r="D18" s="6" t="s">
        <v>9</v>
      </c>
      <c r="E18" s="68">
        <f>(E17-(B6-1))</f>
        <v>44777</v>
      </c>
      <c r="F18" s="72"/>
      <c r="G18" s="72"/>
      <c r="H18" s="72"/>
      <c r="I18" s="72"/>
      <c r="J18" s="72"/>
      <c r="K18" s="9" t="s">
        <v>8</v>
      </c>
      <c r="L18" s="69">
        <f>L17+B9-1</f>
        <v>44991</v>
      </c>
      <c r="M18" s="75">
        <v>44986</v>
      </c>
    </row>
    <row r="19" spans="1:13" x14ac:dyDescent="0.25">
      <c r="A19" s="4"/>
      <c r="B19" s="72"/>
      <c r="C19" s="72"/>
      <c r="D19" s="66"/>
      <c r="E19" s="67"/>
      <c r="F19" s="72"/>
      <c r="G19" s="72"/>
      <c r="H19" s="72"/>
      <c r="I19" s="72"/>
      <c r="J19" s="72"/>
      <c r="K19" s="72"/>
      <c r="L19" s="5"/>
    </row>
    <row r="20" spans="1:13" x14ac:dyDescent="0.25">
      <c r="A20" s="4"/>
      <c r="B20" s="72"/>
      <c r="C20" s="72"/>
      <c r="D20" s="6" t="s">
        <v>10</v>
      </c>
      <c r="E20" s="68">
        <f>E18-1</f>
        <v>44776</v>
      </c>
      <c r="F20" s="72"/>
      <c r="G20" s="72"/>
      <c r="H20" s="72"/>
      <c r="I20" s="72"/>
      <c r="J20" s="72"/>
      <c r="K20" s="72"/>
      <c r="L20" s="5"/>
    </row>
    <row r="21" spans="1:13" ht="15.75" thickBot="1" x14ac:dyDescent="0.3">
      <c r="A21" s="21"/>
      <c r="B21" s="24"/>
      <c r="C21" s="24"/>
      <c r="D21" s="9" t="s">
        <v>9</v>
      </c>
      <c r="E21" s="69">
        <f>(E20-(B6-1))</f>
        <v>44747</v>
      </c>
      <c r="F21" s="24"/>
      <c r="G21" s="24"/>
      <c r="H21" s="24"/>
      <c r="I21" s="24"/>
      <c r="J21" s="24"/>
      <c r="K21" s="24"/>
      <c r="L21" s="74"/>
    </row>
    <row r="22" spans="1:13" x14ac:dyDescent="0.25">
      <c r="E22" s="1"/>
    </row>
  </sheetData>
  <mergeCells count="19">
    <mergeCell ref="D4:E4"/>
    <mergeCell ref="G4:I4"/>
    <mergeCell ref="G7:I7"/>
    <mergeCell ref="K4:L4"/>
    <mergeCell ref="K7:L7"/>
    <mergeCell ref="K10:L10"/>
    <mergeCell ref="K13:L13"/>
    <mergeCell ref="K16:L16"/>
    <mergeCell ref="D7:E7"/>
    <mergeCell ref="D10:E10"/>
    <mergeCell ref="D13:E13"/>
    <mergeCell ref="D16:E16"/>
    <mergeCell ref="D19:E19"/>
    <mergeCell ref="A3:B3"/>
    <mergeCell ref="D3:E3"/>
    <mergeCell ref="K3:L3"/>
    <mergeCell ref="G3:I3"/>
    <mergeCell ref="A1:L1"/>
    <mergeCell ref="A2:L2"/>
  </mergeCells>
  <conditionalFormatting sqref="L5:L6 L8:L9 L11:L12 L14:L15 L17:L18">
    <cfRule type="cellIs" dxfId="4" priority="3" operator="greaterThan">
      <formula>$B$12</formula>
    </cfRule>
    <cfRule type="cellIs" dxfId="3" priority="4" operator="lessThan">
      <formula>$B$11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DD1DC-AA1B-43FC-AA6F-0A58D1B39C70}">
  <sheetPr codeName="Planilha2"/>
  <dimension ref="A1:K21"/>
  <sheetViews>
    <sheetView workbookViewId="0">
      <selection sqref="A1:H2"/>
    </sheetView>
  </sheetViews>
  <sheetFormatPr defaultRowHeight="15" x14ac:dyDescent="0.25"/>
  <cols>
    <col min="1" max="1" width="18" bestFit="1" customWidth="1"/>
    <col min="2" max="2" width="8.5703125" customWidth="1"/>
    <col min="5" max="5" width="13.85546875" bestFit="1" customWidth="1"/>
    <col min="6" max="6" width="16.85546875" bestFit="1" customWidth="1"/>
    <col min="7" max="7" width="13.140625" bestFit="1" customWidth="1"/>
    <col min="8" max="8" width="13.7109375" bestFit="1" customWidth="1"/>
  </cols>
  <sheetData>
    <row r="1" spans="1:11" ht="15.75" thickBot="1" x14ac:dyDescent="0.3">
      <c r="A1" s="61" t="s">
        <v>71</v>
      </c>
      <c r="B1" s="62"/>
      <c r="C1" s="62"/>
      <c r="D1" s="62"/>
      <c r="E1" s="62"/>
      <c r="F1" s="62"/>
      <c r="G1" s="62"/>
      <c r="H1" s="63"/>
    </row>
    <row r="2" spans="1:11" ht="15.75" thickBot="1" x14ac:dyDescent="0.3">
      <c r="A2" s="54"/>
      <c r="B2" s="56"/>
      <c r="C2" s="56"/>
      <c r="D2" s="56"/>
      <c r="E2" s="56"/>
      <c r="F2" s="56"/>
      <c r="G2" s="56"/>
      <c r="H2" s="55"/>
    </row>
    <row r="3" spans="1:11" ht="15.75" thickBot="1" x14ac:dyDescent="0.3">
      <c r="A3" s="65" t="s">
        <v>14</v>
      </c>
      <c r="B3" s="62"/>
      <c r="C3" s="63"/>
      <c r="D3" s="72"/>
      <c r="E3" s="65" t="s">
        <v>15</v>
      </c>
      <c r="F3" s="63"/>
      <c r="G3" s="72"/>
      <c r="H3" s="5"/>
    </row>
    <row r="4" spans="1:11" ht="15.75" thickBot="1" x14ac:dyDescent="0.3">
      <c r="A4" s="57"/>
      <c r="B4" s="70"/>
      <c r="C4" s="58"/>
      <c r="D4" s="72"/>
      <c r="E4" s="81" t="s">
        <v>20</v>
      </c>
      <c r="F4" s="82">
        <v>0.12</v>
      </c>
      <c r="G4" s="72"/>
      <c r="H4" s="5"/>
    </row>
    <row r="5" spans="1:11" x14ac:dyDescent="0.25">
      <c r="A5" s="6" t="s">
        <v>9</v>
      </c>
      <c r="B5" s="76">
        <v>45112</v>
      </c>
      <c r="C5" s="78" t="s">
        <v>18</v>
      </c>
      <c r="D5" s="72"/>
      <c r="E5" s="72"/>
      <c r="F5" s="72"/>
      <c r="G5" s="72"/>
      <c r="H5" s="5"/>
    </row>
    <row r="6" spans="1:11" ht="15.75" thickBot="1" x14ac:dyDescent="0.3">
      <c r="A6" s="6" t="s">
        <v>10</v>
      </c>
      <c r="B6" s="76">
        <v>45141</v>
      </c>
      <c r="C6" s="86">
        <v>30</v>
      </c>
      <c r="D6" s="72"/>
      <c r="E6" s="72"/>
      <c r="F6" s="72"/>
      <c r="G6" s="72"/>
      <c r="H6" s="5"/>
    </row>
    <row r="7" spans="1:11" ht="15.75" thickBot="1" x14ac:dyDescent="0.3">
      <c r="A7" s="66"/>
      <c r="B7" s="71"/>
      <c r="C7" s="67"/>
      <c r="D7" s="72"/>
      <c r="E7" s="65" t="s">
        <v>13</v>
      </c>
      <c r="F7" s="62"/>
      <c r="G7" s="62"/>
      <c r="H7" s="63"/>
    </row>
    <row r="8" spans="1:11" x14ac:dyDescent="0.25">
      <c r="A8" s="6" t="s">
        <v>9</v>
      </c>
      <c r="B8" s="76">
        <v>44777</v>
      </c>
      <c r="C8" s="78" t="s">
        <v>18</v>
      </c>
      <c r="D8" s="72"/>
      <c r="E8" s="57"/>
      <c r="F8" s="70"/>
      <c r="G8" s="70"/>
      <c r="H8" s="58"/>
    </row>
    <row r="9" spans="1:11" x14ac:dyDescent="0.25">
      <c r="A9" s="6" t="s">
        <v>10</v>
      </c>
      <c r="B9" s="76">
        <v>44806</v>
      </c>
      <c r="C9" s="86">
        <v>35</v>
      </c>
      <c r="D9" s="72"/>
      <c r="E9" s="6" t="s">
        <v>11</v>
      </c>
      <c r="F9" s="76">
        <v>44927</v>
      </c>
      <c r="G9" s="13" t="s">
        <v>17</v>
      </c>
      <c r="H9" s="14" t="s">
        <v>19</v>
      </c>
    </row>
    <row r="10" spans="1:11" x14ac:dyDescent="0.25">
      <c r="A10" s="66"/>
      <c r="B10" s="71"/>
      <c r="C10" s="67"/>
      <c r="D10" s="72"/>
      <c r="E10" s="6" t="s">
        <v>12</v>
      </c>
      <c r="F10" s="76">
        <v>44956</v>
      </c>
      <c r="G10" s="53">
        <v>3</v>
      </c>
      <c r="H10" s="84">
        <f>C21+(C21*F4)</f>
        <v>44.8</v>
      </c>
    </row>
    <row r="11" spans="1:11" x14ac:dyDescent="0.25">
      <c r="A11" s="6" t="s">
        <v>9</v>
      </c>
      <c r="B11" s="76">
        <v>44807</v>
      </c>
      <c r="C11" s="78" t="s">
        <v>18</v>
      </c>
      <c r="D11" s="72"/>
      <c r="E11" s="66"/>
      <c r="F11" s="71"/>
      <c r="G11" s="71"/>
      <c r="H11" s="67"/>
    </row>
    <row r="12" spans="1:11" x14ac:dyDescent="0.25">
      <c r="A12" s="6" t="s">
        <v>10</v>
      </c>
      <c r="B12" s="76">
        <v>44836</v>
      </c>
      <c r="C12" s="86">
        <v>30</v>
      </c>
      <c r="D12" s="72"/>
      <c r="E12" s="6" t="s">
        <v>11</v>
      </c>
      <c r="F12" s="76">
        <v>44957</v>
      </c>
      <c r="G12" s="13" t="s">
        <v>17</v>
      </c>
      <c r="H12" s="14" t="s">
        <v>19</v>
      </c>
    </row>
    <row r="13" spans="1:11" ht="15.75" thickBot="1" x14ac:dyDescent="0.3">
      <c r="A13" s="66"/>
      <c r="B13" s="71"/>
      <c r="C13" s="67"/>
      <c r="D13" s="72"/>
      <c r="E13" s="9" t="s">
        <v>12</v>
      </c>
      <c r="F13" s="77">
        <v>44986</v>
      </c>
      <c r="G13" s="83">
        <v>2</v>
      </c>
      <c r="H13" s="85">
        <f>H10+(H10*F4)</f>
        <v>50.175999999999995</v>
      </c>
    </row>
    <row r="14" spans="1:11" x14ac:dyDescent="0.25">
      <c r="A14" s="6" t="s">
        <v>9</v>
      </c>
      <c r="B14" s="76">
        <v>44837</v>
      </c>
      <c r="C14" s="78" t="s">
        <v>18</v>
      </c>
      <c r="D14" s="72"/>
      <c r="E14" s="72"/>
      <c r="F14" s="72"/>
      <c r="G14" s="72"/>
      <c r="H14" s="5"/>
    </row>
    <row r="15" spans="1:11" x14ac:dyDescent="0.25">
      <c r="A15" s="6" t="s">
        <v>10</v>
      </c>
      <c r="B15" s="76">
        <v>44866</v>
      </c>
      <c r="C15" s="86">
        <v>40</v>
      </c>
      <c r="D15" s="72"/>
      <c r="E15" s="72"/>
      <c r="F15" s="72"/>
      <c r="G15" s="72"/>
      <c r="H15" s="5"/>
    </row>
    <row r="16" spans="1:11" x14ac:dyDescent="0.25">
      <c r="A16" s="66"/>
      <c r="B16" s="71"/>
      <c r="C16" s="67"/>
      <c r="D16" s="72"/>
      <c r="E16" s="72"/>
      <c r="F16" s="72"/>
      <c r="G16" s="72"/>
      <c r="H16" s="5"/>
      <c r="K16" s="88"/>
    </row>
    <row r="17" spans="1:8" x14ac:dyDescent="0.25">
      <c r="A17" s="6" t="s">
        <v>9</v>
      </c>
      <c r="B17" s="76">
        <v>44867</v>
      </c>
      <c r="C17" s="78" t="s">
        <v>18</v>
      </c>
      <c r="D17" s="72"/>
      <c r="E17" s="72"/>
      <c r="F17" s="72"/>
      <c r="G17" s="72"/>
      <c r="H17" s="5"/>
    </row>
    <row r="18" spans="1:8" x14ac:dyDescent="0.25">
      <c r="A18" s="6" t="s">
        <v>10</v>
      </c>
      <c r="B18" s="76">
        <v>44896</v>
      </c>
      <c r="C18" s="86">
        <v>45</v>
      </c>
      <c r="D18" s="72"/>
      <c r="E18" s="72"/>
      <c r="F18" s="72"/>
      <c r="G18" s="72"/>
      <c r="H18" s="5"/>
    </row>
    <row r="19" spans="1:8" x14ac:dyDescent="0.25">
      <c r="A19" s="66"/>
      <c r="B19" s="71"/>
      <c r="C19" s="67"/>
      <c r="D19" s="72"/>
      <c r="E19" s="72"/>
      <c r="F19" s="72"/>
      <c r="G19" s="72"/>
      <c r="H19" s="5"/>
    </row>
    <row r="20" spans="1:8" x14ac:dyDescent="0.25">
      <c r="A20" s="6" t="s">
        <v>9</v>
      </c>
      <c r="B20" s="76">
        <v>44897</v>
      </c>
      <c r="C20" s="78" t="s">
        <v>18</v>
      </c>
      <c r="D20" s="72"/>
      <c r="E20" s="72"/>
      <c r="F20" s="72"/>
      <c r="G20" s="72"/>
      <c r="H20" s="5"/>
    </row>
    <row r="21" spans="1:8" ht="15.75" thickBot="1" x14ac:dyDescent="0.3">
      <c r="A21" s="9" t="s">
        <v>10</v>
      </c>
      <c r="B21" s="77">
        <v>44926</v>
      </c>
      <c r="C21" s="87">
        <v>40</v>
      </c>
      <c r="D21" s="24"/>
      <c r="E21" s="24"/>
      <c r="F21" s="24"/>
      <c r="G21" s="24"/>
      <c r="H21" s="74"/>
    </row>
  </sheetData>
  <mergeCells count="13">
    <mergeCell ref="A13:C13"/>
    <mergeCell ref="A16:C16"/>
    <mergeCell ref="A19:C19"/>
    <mergeCell ref="E8:H8"/>
    <mergeCell ref="E11:H11"/>
    <mergeCell ref="E7:H7"/>
    <mergeCell ref="A3:C3"/>
    <mergeCell ref="A4:C4"/>
    <mergeCell ref="A7:C7"/>
    <mergeCell ref="A10:C10"/>
    <mergeCell ref="A1:H1"/>
    <mergeCell ref="A2:H2"/>
    <mergeCell ref="E3:F3"/>
  </mergeCells>
  <pageMargins left="0.511811024" right="0.511811024" top="0.78740157499999996" bottom="0.78740157499999996" header="0.31496062000000002" footer="0.31496062000000002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5612A-50F4-4B4E-8456-A1932E91B3E8}">
  <sheetPr codeName="Planilha3"/>
  <dimension ref="A1:H28"/>
  <sheetViews>
    <sheetView workbookViewId="0">
      <selection activeCell="J15" sqref="J15"/>
    </sheetView>
  </sheetViews>
  <sheetFormatPr defaultRowHeight="15" x14ac:dyDescent="0.25"/>
  <cols>
    <col min="1" max="1" width="14" bestFit="1" customWidth="1"/>
    <col min="5" max="5" width="16.85546875" bestFit="1" customWidth="1"/>
    <col min="7" max="7" width="13.140625" bestFit="1" customWidth="1"/>
    <col min="8" max="8" width="13.7109375" bestFit="1" customWidth="1"/>
  </cols>
  <sheetData>
    <row r="1" spans="1:8" ht="15.75" thickBot="1" x14ac:dyDescent="0.3">
      <c r="A1" s="61" t="s">
        <v>72</v>
      </c>
      <c r="B1" s="62"/>
      <c r="C1" s="62"/>
      <c r="D1" s="62"/>
      <c r="E1" s="62"/>
      <c r="F1" s="62"/>
      <c r="G1" s="62"/>
      <c r="H1" s="63"/>
    </row>
    <row r="2" spans="1:8" ht="15.75" thickBot="1" x14ac:dyDescent="0.3">
      <c r="A2" s="64"/>
      <c r="B2" s="59"/>
      <c r="C2" s="59"/>
      <c r="D2" s="59"/>
      <c r="E2" s="59"/>
      <c r="F2" s="59"/>
      <c r="G2" s="59"/>
      <c r="H2" s="60"/>
    </row>
    <row r="3" spans="1:8" ht="15.75" thickBot="1" x14ac:dyDescent="0.3">
      <c r="A3" s="93" t="s">
        <v>14</v>
      </c>
      <c r="B3" s="94"/>
      <c r="C3" s="95"/>
      <c r="D3" s="72"/>
      <c r="E3" s="93" t="s">
        <v>13</v>
      </c>
      <c r="F3" s="94"/>
      <c r="G3" s="94"/>
      <c r="H3" s="95"/>
    </row>
    <row r="4" spans="1:8" x14ac:dyDescent="0.25">
      <c r="A4" s="57"/>
      <c r="B4" s="70"/>
      <c r="C4" s="58"/>
      <c r="D4" s="72"/>
      <c r="E4" s="57"/>
      <c r="F4" s="70"/>
      <c r="G4" s="70"/>
      <c r="H4" s="58"/>
    </row>
    <row r="5" spans="1:8" x14ac:dyDescent="0.25">
      <c r="A5" s="6" t="s">
        <v>9</v>
      </c>
      <c r="B5" s="76">
        <v>45112</v>
      </c>
      <c r="C5" s="78" t="s">
        <v>18</v>
      </c>
      <c r="D5" s="72"/>
      <c r="E5" s="6" t="s">
        <v>11</v>
      </c>
      <c r="F5" s="76">
        <v>44927</v>
      </c>
      <c r="G5" s="13" t="s">
        <v>17</v>
      </c>
      <c r="H5" s="14" t="s">
        <v>19</v>
      </c>
    </row>
    <row r="6" spans="1:8" x14ac:dyDescent="0.25">
      <c r="A6" s="6" t="s">
        <v>10</v>
      </c>
      <c r="B6" s="76">
        <v>45141</v>
      </c>
      <c r="C6" s="86">
        <v>30</v>
      </c>
      <c r="D6" s="72"/>
      <c r="E6" s="6" t="s">
        <v>12</v>
      </c>
      <c r="F6" s="76">
        <v>44956</v>
      </c>
      <c r="G6" s="53">
        <v>3</v>
      </c>
      <c r="H6" s="89">
        <f>(C15+C18+C21)/3</f>
        <v>41.666666666666664</v>
      </c>
    </row>
    <row r="7" spans="1:8" x14ac:dyDescent="0.25">
      <c r="A7" s="66"/>
      <c r="B7" s="71"/>
      <c r="C7" s="67"/>
      <c r="D7" s="72"/>
      <c r="E7" s="66"/>
      <c r="F7" s="71"/>
      <c r="G7" s="71"/>
      <c r="H7" s="67"/>
    </row>
    <row r="8" spans="1:8" x14ac:dyDescent="0.25">
      <c r="A8" s="6" t="s">
        <v>9</v>
      </c>
      <c r="B8" s="76">
        <v>44777</v>
      </c>
      <c r="C8" s="78" t="s">
        <v>18</v>
      </c>
      <c r="D8" s="72"/>
      <c r="E8" s="6" t="s">
        <v>11</v>
      </c>
      <c r="F8" s="76">
        <v>44957</v>
      </c>
      <c r="G8" s="13" t="s">
        <v>17</v>
      </c>
      <c r="H8" s="14" t="s">
        <v>19</v>
      </c>
    </row>
    <row r="9" spans="1:8" ht="15.75" thickBot="1" x14ac:dyDescent="0.3">
      <c r="A9" s="6" t="s">
        <v>10</v>
      </c>
      <c r="B9" s="76">
        <v>44806</v>
      </c>
      <c r="C9" s="86">
        <v>35</v>
      </c>
      <c r="D9" s="72"/>
      <c r="E9" s="9" t="s">
        <v>12</v>
      </c>
      <c r="F9" s="77">
        <v>44986</v>
      </c>
      <c r="G9" s="83">
        <v>2</v>
      </c>
      <c r="H9" s="85">
        <f>(C18+C21+H6)/3</f>
        <v>42.222222222222221</v>
      </c>
    </row>
    <row r="10" spans="1:8" x14ac:dyDescent="0.25">
      <c r="A10" s="66"/>
      <c r="B10" s="71"/>
      <c r="C10" s="67"/>
      <c r="D10" s="72"/>
      <c r="E10" s="72"/>
      <c r="F10" s="72"/>
      <c r="G10" s="72"/>
      <c r="H10" s="5"/>
    </row>
    <row r="11" spans="1:8" x14ac:dyDescent="0.25">
      <c r="A11" s="6" t="s">
        <v>9</v>
      </c>
      <c r="B11" s="76">
        <v>44807</v>
      </c>
      <c r="C11" s="78" t="s">
        <v>18</v>
      </c>
      <c r="D11" s="72"/>
      <c r="E11" s="72"/>
      <c r="F11" s="72"/>
      <c r="G11" s="72"/>
      <c r="H11" s="5"/>
    </row>
    <row r="12" spans="1:8" x14ac:dyDescent="0.25">
      <c r="A12" s="6" t="s">
        <v>10</v>
      </c>
      <c r="B12" s="76">
        <v>44836</v>
      </c>
      <c r="C12" s="86">
        <v>30</v>
      </c>
      <c r="D12" s="72"/>
      <c r="E12" s="72"/>
      <c r="F12" s="72"/>
      <c r="G12" s="72"/>
      <c r="H12" s="5"/>
    </row>
    <row r="13" spans="1:8" x14ac:dyDescent="0.25">
      <c r="A13" s="66"/>
      <c r="B13" s="71"/>
      <c r="C13" s="67"/>
      <c r="D13" s="72"/>
      <c r="E13" s="72"/>
      <c r="F13" s="72"/>
      <c r="G13" s="72"/>
      <c r="H13" s="92"/>
    </row>
    <row r="14" spans="1:8" x14ac:dyDescent="0.25">
      <c r="A14" s="6" t="s">
        <v>9</v>
      </c>
      <c r="B14" s="76">
        <v>44837</v>
      </c>
      <c r="C14" s="78" t="s">
        <v>18</v>
      </c>
      <c r="D14" s="72"/>
      <c r="E14" s="72"/>
      <c r="F14" s="72"/>
      <c r="G14" s="72"/>
      <c r="H14" s="5"/>
    </row>
    <row r="15" spans="1:8" x14ac:dyDescent="0.25">
      <c r="A15" s="6" t="s">
        <v>10</v>
      </c>
      <c r="B15" s="76">
        <v>44866</v>
      </c>
      <c r="C15" s="86">
        <v>40</v>
      </c>
      <c r="D15" s="72"/>
      <c r="E15" s="72"/>
      <c r="F15" s="72"/>
      <c r="G15" s="72"/>
      <c r="H15" s="5"/>
    </row>
    <row r="16" spans="1:8" x14ac:dyDescent="0.25">
      <c r="A16" s="66"/>
      <c r="B16" s="71"/>
      <c r="C16" s="67"/>
      <c r="D16" s="72"/>
      <c r="E16" s="72"/>
      <c r="F16" s="72"/>
      <c r="G16" s="72"/>
      <c r="H16" s="92"/>
    </row>
    <row r="17" spans="1:8" x14ac:dyDescent="0.25">
      <c r="A17" s="6" t="s">
        <v>9</v>
      </c>
      <c r="B17" s="76">
        <v>44867</v>
      </c>
      <c r="C17" s="78" t="s">
        <v>18</v>
      </c>
      <c r="D17" s="72"/>
      <c r="E17" s="72"/>
      <c r="F17" s="72"/>
      <c r="G17" s="72"/>
      <c r="H17" s="5"/>
    </row>
    <row r="18" spans="1:8" x14ac:dyDescent="0.25">
      <c r="A18" s="6" t="s">
        <v>10</v>
      </c>
      <c r="B18" s="76">
        <v>44896</v>
      </c>
      <c r="C18" s="86">
        <v>45</v>
      </c>
      <c r="D18" s="72"/>
      <c r="E18" s="72"/>
      <c r="F18" s="72"/>
      <c r="G18" s="72"/>
      <c r="H18" s="5"/>
    </row>
    <row r="19" spans="1:8" x14ac:dyDescent="0.25">
      <c r="A19" s="66"/>
      <c r="B19" s="71"/>
      <c r="C19" s="67"/>
      <c r="D19" s="72"/>
      <c r="E19" s="72"/>
      <c r="F19" s="72"/>
      <c r="G19" s="72"/>
      <c r="H19" s="5"/>
    </row>
    <row r="20" spans="1:8" x14ac:dyDescent="0.25">
      <c r="A20" s="6" t="s">
        <v>9</v>
      </c>
      <c r="B20" s="76">
        <v>44897</v>
      </c>
      <c r="C20" s="78" t="s">
        <v>18</v>
      </c>
      <c r="D20" s="72"/>
      <c r="E20" s="72"/>
      <c r="F20" s="72"/>
      <c r="G20" s="72"/>
      <c r="H20" s="5"/>
    </row>
    <row r="21" spans="1:8" ht="15.75" thickBot="1" x14ac:dyDescent="0.3">
      <c r="A21" s="9" t="s">
        <v>10</v>
      </c>
      <c r="B21" s="77">
        <v>44926</v>
      </c>
      <c r="C21" s="87">
        <v>40</v>
      </c>
      <c r="D21" s="24"/>
      <c r="E21" s="24"/>
      <c r="F21" s="24"/>
      <c r="G21" s="24"/>
      <c r="H21" s="74"/>
    </row>
    <row r="28" spans="1:8" x14ac:dyDescent="0.25">
      <c r="G28" s="88"/>
    </row>
  </sheetData>
  <mergeCells count="12">
    <mergeCell ref="A13:C13"/>
    <mergeCell ref="A16:C16"/>
    <mergeCell ref="A19:C19"/>
    <mergeCell ref="E4:H4"/>
    <mergeCell ref="E7:H7"/>
    <mergeCell ref="A4:C4"/>
    <mergeCell ref="A7:C7"/>
    <mergeCell ref="A10:C10"/>
    <mergeCell ref="A1:H1"/>
    <mergeCell ref="A2:H2"/>
    <mergeCell ref="E3:H3"/>
    <mergeCell ref="A3:C3"/>
  </mergeCells>
  <pageMargins left="0.511811024" right="0.511811024" top="0.78740157499999996" bottom="0.78740157499999996" header="0.31496062000000002" footer="0.31496062000000002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BE91B-0D40-49FB-8671-59EFE71F380A}">
  <sheetPr codeName="Planilha4"/>
  <dimension ref="A1:H21"/>
  <sheetViews>
    <sheetView workbookViewId="0">
      <selection sqref="A1:H2"/>
    </sheetView>
  </sheetViews>
  <sheetFormatPr defaultRowHeight="15" x14ac:dyDescent="0.25"/>
  <cols>
    <col min="1" max="1" width="14" bestFit="1" customWidth="1"/>
    <col min="5" max="5" width="13.85546875" bestFit="1" customWidth="1"/>
    <col min="7" max="7" width="13.140625" bestFit="1" customWidth="1"/>
    <col min="8" max="8" width="13.7109375" bestFit="1" customWidth="1"/>
  </cols>
  <sheetData>
    <row r="1" spans="1:8" ht="15.75" thickBot="1" x14ac:dyDescent="0.3">
      <c r="A1" s="61" t="s">
        <v>73</v>
      </c>
      <c r="B1" s="62"/>
      <c r="C1" s="62"/>
      <c r="D1" s="62"/>
      <c r="E1" s="62"/>
      <c r="F1" s="62"/>
      <c r="G1" s="62"/>
      <c r="H1" s="63"/>
    </row>
    <row r="2" spans="1:8" ht="15.75" thickBot="1" x14ac:dyDescent="0.3">
      <c r="A2" s="64"/>
      <c r="B2" s="59"/>
      <c r="C2" s="59"/>
      <c r="D2" s="59"/>
      <c r="E2" s="59"/>
      <c r="F2" s="59"/>
      <c r="G2" s="59"/>
      <c r="H2" s="60"/>
    </row>
    <row r="3" spans="1:8" ht="15.75" thickBot="1" x14ac:dyDescent="0.3">
      <c r="A3" s="93" t="s">
        <v>14</v>
      </c>
      <c r="B3" s="94"/>
      <c r="C3" s="95"/>
      <c r="D3" s="72"/>
      <c r="E3" s="93" t="s">
        <v>13</v>
      </c>
      <c r="F3" s="94"/>
      <c r="G3" s="94"/>
      <c r="H3" s="95"/>
    </row>
    <row r="4" spans="1:8" x14ac:dyDescent="0.25">
      <c r="A4" s="57"/>
      <c r="B4" s="70"/>
      <c r="C4" s="58"/>
      <c r="D4" s="72"/>
      <c r="E4" s="57"/>
      <c r="F4" s="70"/>
      <c r="G4" s="70"/>
      <c r="H4" s="58"/>
    </row>
    <row r="5" spans="1:8" x14ac:dyDescent="0.25">
      <c r="A5" s="6" t="s">
        <v>9</v>
      </c>
      <c r="B5" s="76">
        <v>45112</v>
      </c>
      <c r="C5" s="78" t="s">
        <v>18</v>
      </c>
      <c r="D5" s="72"/>
      <c r="E5" s="6" t="s">
        <v>11</v>
      </c>
      <c r="F5" s="76">
        <v>44927</v>
      </c>
      <c r="G5" s="13" t="s">
        <v>17</v>
      </c>
      <c r="H5" s="14" t="s">
        <v>19</v>
      </c>
    </row>
    <row r="6" spans="1:8" x14ac:dyDescent="0.25">
      <c r="A6" s="6" t="s">
        <v>10</v>
      </c>
      <c r="B6" s="76">
        <v>45141</v>
      </c>
      <c r="C6" s="86">
        <v>30</v>
      </c>
      <c r="D6" s="72"/>
      <c r="E6" s="6" t="s">
        <v>12</v>
      </c>
      <c r="F6" s="76">
        <v>44956</v>
      </c>
      <c r="G6" s="53">
        <v>3</v>
      </c>
      <c r="H6" s="89">
        <f>(C21+C18+C15+C12+C9+C6)/6</f>
        <v>36.666666666666664</v>
      </c>
    </row>
    <row r="7" spans="1:8" x14ac:dyDescent="0.25">
      <c r="A7" s="66"/>
      <c r="B7" s="71"/>
      <c r="C7" s="67"/>
      <c r="D7" s="72"/>
      <c r="E7" s="66"/>
      <c r="F7" s="71"/>
      <c r="G7" s="71"/>
      <c r="H7" s="67"/>
    </row>
    <row r="8" spans="1:8" x14ac:dyDescent="0.25">
      <c r="A8" s="6" t="s">
        <v>9</v>
      </c>
      <c r="B8" s="76">
        <v>44777</v>
      </c>
      <c r="C8" s="78" t="s">
        <v>18</v>
      </c>
      <c r="D8" s="72"/>
      <c r="E8" s="6" t="s">
        <v>11</v>
      </c>
      <c r="F8" s="76">
        <v>44957</v>
      </c>
      <c r="G8" s="13" t="s">
        <v>17</v>
      </c>
      <c r="H8" s="14" t="s">
        <v>19</v>
      </c>
    </row>
    <row r="9" spans="1:8" ht="15.75" thickBot="1" x14ac:dyDescent="0.3">
      <c r="A9" s="6" t="s">
        <v>10</v>
      </c>
      <c r="B9" s="76">
        <v>44806</v>
      </c>
      <c r="C9" s="86">
        <v>35</v>
      </c>
      <c r="D9" s="72"/>
      <c r="E9" s="9" t="s">
        <v>12</v>
      </c>
      <c r="F9" s="77">
        <v>44986</v>
      </c>
      <c r="G9" s="83">
        <v>2</v>
      </c>
      <c r="H9" s="85">
        <f>(H6+C21+C18+C15+C12+C9)/6</f>
        <v>37.777777777777779</v>
      </c>
    </row>
    <row r="10" spans="1:8" x14ac:dyDescent="0.25">
      <c r="A10" s="66"/>
      <c r="B10" s="71"/>
      <c r="C10" s="67"/>
      <c r="D10" s="72"/>
      <c r="E10" s="72"/>
      <c r="F10" s="72"/>
      <c r="G10" s="72"/>
      <c r="H10" s="5"/>
    </row>
    <row r="11" spans="1:8" x14ac:dyDescent="0.25">
      <c r="A11" s="6" t="s">
        <v>9</v>
      </c>
      <c r="B11" s="76">
        <v>44807</v>
      </c>
      <c r="C11" s="78" t="s">
        <v>18</v>
      </c>
      <c r="D11" s="72"/>
      <c r="E11" s="72"/>
      <c r="F11" s="72"/>
      <c r="G11" s="72"/>
      <c r="H11" s="5"/>
    </row>
    <row r="12" spans="1:8" x14ac:dyDescent="0.25">
      <c r="A12" s="6" t="s">
        <v>10</v>
      </c>
      <c r="B12" s="76">
        <v>44836</v>
      </c>
      <c r="C12" s="86">
        <v>30</v>
      </c>
      <c r="D12" s="72"/>
      <c r="E12" s="72"/>
      <c r="F12" s="72"/>
      <c r="G12" s="72"/>
      <c r="H12" s="5"/>
    </row>
    <row r="13" spans="1:8" x14ac:dyDescent="0.25">
      <c r="A13" s="66"/>
      <c r="B13" s="71"/>
      <c r="C13" s="67"/>
      <c r="D13" s="72"/>
      <c r="E13" s="72"/>
      <c r="F13" s="72"/>
      <c r="G13" s="72"/>
      <c r="H13" s="5"/>
    </row>
    <row r="14" spans="1:8" x14ac:dyDescent="0.25">
      <c r="A14" s="6" t="s">
        <v>9</v>
      </c>
      <c r="B14" s="76">
        <v>44837</v>
      </c>
      <c r="C14" s="78" t="s">
        <v>18</v>
      </c>
      <c r="D14" s="72"/>
      <c r="E14" s="72"/>
      <c r="F14" s="72"/>
      <c r="G14" s="72"/>
      <c r="H14" s="5"/>
    </row>
    <row r="15" spans="1:8" x14ac:dyDescent="0.25">
      <c r="A15" s="6" t="s">
        <v>10</v>
      </c>
      <c r="B15" s="76">
        <v>44866</v>
      </c>
      <c r="C15" s="86">
        <v>40</v>
      </c>
      <c r="D15" s="72"/>
      <c r="E15" s="72"/>
      <c r="F15" s="72"/>
      <c r="G15" s="72"/>
      <c r="H15" s="5"/>
    </row>
    <row r="16" spans="1:8" x14ac:dyDescent="0.25">
      <c r="A16" s="66"/>
      <c r="B16" s="71"/>
      <c r="C16" s="67"/>
      <c r="D16" s="72"/>
      <c r="E16" s="72"/>
      <c r="F16" s="72"/>
      <c r="G16" s="72"/>
      <c r="H16" s="5"/>
    </row>
    <row r="17" spans="1:8" x14ac:dyDescent="0.25">
      <c r="A17" s="6" t="s">
        <v>9</v>
      </c>
      <c r="B17" s="76">
        <v>44867</v>
      </c>
      <c r="C17" s="78" t="s">
        <v>18</v>
      </c>
      <c r="D17" s="72"/>
      <c r="E17" s="72"/>
      <c r="F17" s="72"/>
      <c r="G17" s="72"/>
      <c r="H17" s="5"/>
    </row>
    <row r="18" spans="1:8" x14ac:dyDescent="0.25">
      <c r="A18" s="6" t="s">
        <v>10</v>
      </c>
      <c r="B18" s="76">
        <v>44896</v>
      </c>
      <c r="C18" s="86">
        <v>45</v>
      </c>
      <c r="D18" s="72"/>
      <c r="E18" s="72"/>
      <c r="F18" s="72"/>
      <c r="G18" s="72"/>
      <c r="H18" s="5"/>
    </row>
    <row r="19" spans="1:8" x14ac:dyDescent="0.25">
      <c r="A19" s="66"/>
      <c r="B19" s="71"/>
      <c r="C19" s="67"/>
      <c r="D19" s="72"/>
      <c r="E19" s="72"/>
      <c r="F19" s="72"/>
      <c r="G19" s="72"/>
      <c r="H19" s="5"/>
    </row>
    <row r="20" spans="1:8" x14ac:dyDescent="0.25">
      <c r="A20" s="6" t="s">
        <v>9</v>
      </c>
      <c r="B20" s="76">
        <v>44897</v>
      </c>
      <c r="C20" s="78" t="s">
        <v>18</v>
      </c>
      <c r="D20" s="72"/>
      <c r="E20" s="72"/>
      <c r="F20" s="72"/>
      <c r="G20" s="72"/>
      <c r="H20" s="5"/>
    </row>
    <row r="21" spans="1:8" ht="15.75" thickBot="1" x14ac:dyDescent="0.3">
      <c r="A21" s="9" t="s">
        <v>10</v>
      </c>
      <c r="B21" s="77">
        <v>44926</v>
      </c>
      <c r="C21" s="87">
        <v>40</v>
      </c>
      <c r="D21" s="24"/>
      <c r="E21" s="24"/>
      <c r="F21" s="24"/>
      <c r="G21" s="24"/>
      <c r="H21" s="74"/>
    </row>
  </sheetData>
  <mergeCells count="12">
    <mergeCell ref="A16:C16"/>
    <mergeCell ref="A19:C19"/>
    <mergeCell ref="E7:H7"/>
    <mergeCell ref="A4:C4"/>
    <mergeCell ref="A7:C7"/>
    <mergeCell ref="A10:C10"/>
    <mergeCell ref="A13:C13"/>
    <mergeCell ref="A3:C3"/>
    <mergeCell ref="E3:H3"/>
    <mergeCell ref="A1:H1"/>
    <mergeCell ref="A2:H2"/>
    <mergeCell ref="E4:H4"/>
  </mergeCells>
  <pageMargins left="0.511811024" right="0.511811024" top="0.78740157499999996" bottom="0.78740157499999996" header="0.31496062000000002" footer="0.31496062000000002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089D4-6D32-46DC-A694-D09AF1D25D3D}">
  <sheetPr codeName="Planilha5"/>
  <dimension ref="A1:H21"/>
  <sheetViews>
    <sheetView workbookViewId="0">
      <selection sqref="A1:H2"/>
    </sheetView>
  </sheetViews>
  <sheetFormatPr defaultRowHeight="15" x14ac:dyDescent="0.25"/>
  <cols>
    <col min="1" max="1" width="14" bestFit="1" customWidth="1"/>
    <col min="5" max="5" width="13.85546875" bestFit="1" customWidth="1"/>
    <col min="7" max="7" width="13.140625" bestFit="1" customWidth="1"/>
    <col min="8" max="8" width="13.7109375" bestFit="1" customWidth="1"/>
  </cols>
  <sheetData>
    <row r="1" spans="1:8" ht="15.75" thickBot="1" x14ac:dyDescent="0.3">
      <c r="A1" s="61" t="s">
        <v>74</v>
      </c>
      <c r="B1" s="62"/>
      <c r="C1" s="62"/>
      <c r="D1" s="62"/>
      <c r="E1" s="62"/>
      <c r="F1" s="62"/>
      <c r="G1" s="62"/>
      <c r="H1" s="63"/>
    </row>
    <row r="2" spans="1:8" ht="15.75" thickBot="1" x14ac:dyDescent="0.3">
      <c r="A2" s="64"/>
      <c r="B2" s="59"/>
      <c r="C2" s="59"/>
      <c r="D2" s="59"/>
      <c r="E2" s="59"/>
      <c r="F2" s="59"/>
      <c r="G2" s="59"/>
      <c r="H2" s="60"/>
    </row>
    <row r="3" spans="1:8" ht="15.75" thickBot="1" x14ac:dyDescent="0.3">
      <c r="A3" s="65" t="s">
        <v>14</v>
      </c>
      <c r="B3" s="62"/>
      <c r="C3" s="63"/>
      <c r="D3" s="72"/>
      <c r="E3" s="65" t="s">
        <v>13</v>
      </c>
      <c r="F3" s="62"/>
      <c r="G3" s="62"/>
      <c r="H3" s="63"/>
    </row>
    <row r="4" spans="1:8" x14ac:dyDescent="0.25">
      <c r="A4" s="57"/>
      <c r="B4" s="70"/>
      <c r="C4" s="58"/>
      <c r="D4" s="72"/>
      <c r="E4" s="57"/>
      <c r="F4" s="70"/>
      <c r="G4" s="70"/>
      <c r="H4" s="58"/>
    </row>
    <row r="5" spans="1:8" x14ac:dyDescent="0.25">
      <c r="A5" s="6" t="s">
        <v>9</v>
      </c>
      <c r="B5" s="76">
        <v>45112</v>
      </c>
      <c r="C5" s="78" t="s">
        <v>18</v>
      </c>
      <c r="D5" s="72"/>
      <c r="E5" s="6" t="s">
        <v>11</v>
      </c>
      <c r="F5" s="76">
        <v>44927</v>
      </c>
      <c r="G5" s="13" t="s">
        <v>17</v>
      </c>
      <c r="H5" s="14" t="s">
        <v>19</v>
      </c>
    </row>
    <row r="6" spans="1:8" x14ac:dyDescent="0.25">
      <c r="A6" s="6" t="s">
        <v>10</v>
      </c>
      <c r="B6" s="76">
        <v>45141</v>
      </c>
      <c r="C6" s="86">
        <v>30</v>
      </c>
      <c r="D6" s="72"/>
      <c r="E6" s="6" t="s">
        <v>12</v>
      </c>
      <c r="F6" s="76">
        <v>44956</v>
      </c>
      <c r="G6" s="53">
        <v>3</v>
      </c>
      <c r="H6" s="89">
        <f>(C6+C9+C12+C15+C18+C21)/6</f>
        <v>36.666666666666664</v>
      </c>
    </row>
    <row r="7" spans="1:8" x14ac:dyDescent="0.25">
      <c r="A7" s="4"/>
      <c r="B7" s="80"/>
      <c r="C7" s="31"/>
      <c r="D7" s="72"/>
      <c r="E7" s="4"/>
      <c r="F7" s="90"/>
      <c r="G7" s="91"/>
      <c r="H7" s="15"/>
    </row>
    <row r="8" spans="1:8" x14ac:dyDescent="0.25">
      <c r="A8" s="6" t="s">
        <v>9</v>
      </c>
      <c r="B8" s="76">
        <v>44777</v>
      </c>
      <c r="C8" s="78" t="s">
        <v>18</v>
      </c>
      <c r="D8" s="72"/>
      <c r="E8" s="6" t="s">
        <v>11</v>
      </c>
      <c r="F8" s="76">
        <v>44957</v>
      </c>
      <c r="G8" s="13" t="s">
        <v>17</v>
      </c>
      <c r="H8" s="14" t="s">
        <v>19</v>
      </c>
    </row>
    <row r="9" spans="1:8" ht="15.75" thickBot="1" x14ac:dyDescent="0.3">
      <c r="A9" s="6" t="s">
        <v>10</v>
      </c>
      <c r="B9" s="76">
        <v>44806</v>
      </c>
      <c r="C9" s="86">
        <v>35</v>
      </c>
      <c r="D9" s="72"/>
      <c r="E9" s="9" t="s">
        <v>12</v>
      </c>
      <c r="F9" s="77">
        <v>44986</v>
      </c>
      <c r="G9" s="83">
        <v>2</v>
      </c>
      <c r="H9" s="85">
        <f>(H6+C21+C18+C15+C12+C9+C6)/7</f>
        <v>36.666666666666664</v>
      </c>
    </row>
    <row r="10" spans="1:8" x14ac:dyDescent="0.25">
      <c r="A10" s="4"/>
      <c r="B10" s="80"/>
      <c r="C10" s="31"/>
      <c r="D10" s="72"/>
      <c r="E10" s="72"/>
      <c r="F10" s="72"/>
      <c r="G10" s="72"/>
      <c r="H10" s="5"/>
    </row>
    <row r="11" spans="1:8" x14ac:dyDescent="0.25">
      <c r="A11" s="6" t="s">
        <v>9</v>
      </c>
      <c r="B11" s="76">
        <v>44807</v>
      </c>
      <c r="C11" s="78" t="s">
        <v>18</v>
      </c>
      <c r="D11" s="72"/>
      <c r="E11" s="72"/>
      <c r="F11" s="72"/>
      <c r="G11" s="72"/>
      <c r="H11" s="5"/>
    </row>
    <row r="12" spans="1:8" x14ac:dyDescent="0.25">
      <c r="A12" s="6" t="s">
        <v>10</v>
      </c>
      <c r="B12" s="76">
        <v>44836</v>
      </c>
      <c r="C12" s="86">
        <v>30</v>
      </c>
      <c r="D12" s="72"/>
      <c r="E12" s="72"/>
      <c r="F12" s="72"/>
      <c r="G12" s="72"/>
      <c r="H12" s="5"/>
    </row>
    <row r="13" spans="1:8" x14ac:dyDescent="0.25">
      <c r="A13" s="4"/>
      <c r="B13" s="80"/>
      <c r="C13" s="31"/>
      <c r="D13" s="72"/>
      <c r="E13" s="72"/>
      <c r="F13" s="72"/>
      <c r="G13" s="72"/>
      <c r="H13" s="5"/>
    </row>
    <row r="14" spans="1:8" x14ac:dyDescent="0.25">
      <c r="A14" s="6" t="s">
        <v>9</v>
      </c>
      <c r="B14" s="76">
        <v>44837</v>
      </c>
      <c r="C14" s="78" t="s">
        <v>18</v>
      </c>
      <c r="D14" s="72"/>
      <c r="E14" s="72"/>
      <c r="F14" s="72"/>
      <c r="G14" s="72"/>
      <c r="H14" s="5"/>
    </row>
    <row r="15" spans="1:8" x14ac:dyDescent="0.25">
      <c r="A15" s="6" t="s">
        <v>10</v>
      </c>
      <c r="B15" s="76">
        <v>44866</v>
      </c>
      <c r="C15" s="86">
        <v>40</v>
      </c>
      <c r="D15" s="72"/>
      <c r="E15" s="72"/>
      <c r="F15" s="72"/>
      <c r="G15" s="72"/>
      <c r="H15" s="5"/>
    </row>
    <row r="16" spans="1:8" x14ac:dyDescent="0.25">
      <c r="A16" s="4"/>
      <c r="B16" s="80"/>
      <c r="C16" s="31"/>
      <c r="D16" s="72"/>
      <c r="E16" s="72"/>
      <c r="F16" s="72"/>
      <c r="G16" s="72"/>
      <c r="H16" s="5"/>
    </row>
    <row r="17" spans="1:8" x14ac:dyDescent="0.25">
      <c r="A17" s="6" t="s">
        <v>9</v>
      </c>
      <c r="B17" s="76">
        <v>44867</v>
      </c>
      <c r="C17" s="78" t="s">
        <v>18</v>
      </c>
      <c r="D17" s="72"/>
      <c r="E17" s="72"/>
      <c r="F17" s="72"/>
      <c r="G17" s="72"/>
      <c r="H17" s="5"/>
    </row>
    <row r="18" spans="1:8" x14ac:dyDescent="0.25">
      <c r="A18" s="6" t="s">
        <v>10</v>
      </c>
      <c r="B18" s="76">
        <v>44896</v>
      </c>
      <c r="C18" s="86">
        <v>45</v>
      </c>
      <c r="D18" s="72"/>
      <c r="E18" s="72"/>
      <c r="F18" s="72"/>
      <c r="G18" s="72"/>
      <c r="H18" s="5"/>
    </row>
    <row r="19" spans="1:8" x14ac:dyDescent="0.25">
      <c r="A19" s="4"/>
      <c r="B19" s="80"/>
      <c r="C19" s="31"/>
      <c r="D19" s="72"/>
      <c r="E19" s="72"/>
      <c r="F19" s="72"/>
      <c r="G19" s="72"/>
      <c r="H19" s="5"/>
    </row>
    <row r="20" spans="1:8" x14ac:dyDescent="0.25">
      <c r="A20" s="6" t="s">
        <v>9</v>
      </c>
      <c r="B20" s="76">
        <v>44897</v>
      </c>
      <c r="C20" s="78" t="s">
        <v>18</v>
      </c>
      <c r="D20" s="72"/>
      <c r="E20" s="72"/>
      <c r="F20" s="72"/>
      <c r="G20" s="72"/>
      <c r="H20" s="5"/>
    </row>
    <row r="21" spans="1:8" ht="15.75" thickBot="1" x14ac:dyDescent="0.3">
      <c r="A21" s="9" t="s">
        <v>10</v>
      </c>
      <c r="B21" s="77">
        <v>44926</v>
      </c>
      <c r="C21" s="87">
        <v>40</v>
      </c>
      <c r="D21" s="24"/>
      <c r="E21" s="24"/>
      <c r="F21" s="24"/>
      <c r="G21" s="24"/>
      <c r="H21" s="74"/>
    </row>
  </sheetData>
  <mergeCells count="6">
    <mergeCell ref="A3:C3"/>
    <mergeCell ref="E3:H3"/>
    <mergeCell ref="A1:H1"/>
    <mergeCell ref="A2:H2"/>
    <mergeCell ref="A4:C4"/>
    <mergeCell ref="E4:H4"/>
  </mergeCells>
  <pageMargins left="0.511811024" right="0.511811024" top="0.78740157499999996" bottom="0.78740157499999996" header="0.31496062000000002" footer="0.31496062000000002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F694D-EC08-40AE-B351-A21C11D3C9CA}">
  <sheetPr codeName="Planilha6"/>
  <dimension ref="A1:H21"/>
  <sheetViews>
    <sheetView workbookViewId="0">
      <selection sqref="A1:H2"/>
    </sheetView>
  </sheetViews>
  <sheetFormatPr defaultRowHeight="15" x14ac:dyDescent="0.25"/>
  <cols>
    <col min="1" max="1" width="14" bestFit="1" customWidth="1"/>
    <col min="3" max="3" width="10.28515625" customWidth="1"/>
    <col min="5" max="5" width="13.85546875" bestFit="1" customWidth="1"/>
    <col min="7" max="7" width="13.140625" bestFit="1" customWidth="1"/>
    <col min="8" max="8" width="13.7109375" bestFit="1" customWidth="1"/>
  </cols>
  <sheetData>
    <row r="1" spans="1:8" ht="15.75" thickBot="1" x14ac:dyDescent="0.3">
      <c r="A1" s="61" t="s">
        <v>74</v>
      </c>
      <c r="B1" s="62"/>
      <c r="C1" s="62"/>
      <c r="D1" s="62"/>
      <c r="E1" s="62"/>
      <c r="F1" s="62"/>
      <c r="G1" s="62"/>
      <c r="H1" s="63"/>
    </row>
    <row r="2" spans="1:8" ht="15.75" thickBot="1" x14ac:dyDescent="0.3">
      <c r="A2" s="64"/>
      <c r="B2" s="59"/>
      <c r="C2" s="59"/>
      <c r="D2" s="59"/>
      <c r="E2" s="59"/>
      <c r="F2" s="59"/>
      <c r="G2" s="59"/>
      <c r="H2" s="60"/>
    </row>
    <row r="3" spans="1:8" ht="15.75" thickBot="1" x14ac:dyDescent="0.3">
      <c r="A3" s="65" t="s">
        <v>14</v>
      </c>
      <c r="B3" s="62"/>
      <c r="C3" s="63"/>
      <c r="D3" s="72"/>
      <c r="E3" s="65" t="s">
        <v>13</v>
      </c>
      <c r="F3" s="62"/>
      <c r="G3" s="62"/>
      <c r="H3" s="63"/>
    </row>
    <row r="4" spans="1:8" x14ac:dyDescent="0.25">
      <c r="A4" s="57"/>
      <c r="B4" s="70"/>
      <c r="C4" s="58"/>
      <c r="D4" s="72"/>
      <c r="E4" s="57"/>
      <c r="F4" s="70"/>
      <c r="G4" s="70"/>
      <c r="H4" s="58"/>
    </row>
    <row r="5" spans="1:8" x14ac:dyDescent="0.25">
      <c r="A5" s="6" t="s">
        <v>9</v>
      </c>
      <c r="B5" s="76">
        <v>45112</v>
      </c>
      <c r="C5" s="78" t="s">
        <v>18</v>
      </c>
      <c r="D5" s="72"/>
      <c r="E5" s="6" t="s">
        <v>11</v>
      </c>
      <c r="F5" s="76">
        <v>44927</v>
      </c>
      <c r="G5" s="13" t="s">
        <v>17</v>
      </c>
      <c r="H5" s="14" t="s">
        <v>19</v>
      </c>
    </row>
    <row r="6" spans="1:8" x14ac:dyDescent="0.25">
      <c r="A6" s="6" t="s">
        <v>10</v>
      </c>
      <c r="B6" s="76">
        <v>45141</v>
      </c>
      <c r="C6" s="86">
        <v>30</v>
      </c>
      <c r="D6" s="72"/>
      <c r="E6" s="6" t="s">
        <v>12</v>
      </c>
      <c r="F6" s="76">
        <v>44956</v>
      </c>
      <c r="G6" s="53">
        <v>3</v>
      </c>
      <c r="H6" s="89">
        <f>C21</f>
        <v>40</v>
      </c>
    </row>
    <row r="7" spans="1:8" x14ac:dyDescent="0.25">
      <c r="A7" s="66"/>
      <c r="B7" s="71"/>
      <c r="C7" s="67"/>
      <c r="D7" s="72"/>
      <c r="E7" s="66"/>
      <c r="F7" s="71"/>
      <c r="G7" s="71"/>
      <c r="H7" s="67"/>
    </row>
    <row r="8" spans="1:8" x14ac:dyDescent="0.25">
      <c r="A8" s="6" t="s">
        <v>9</v>
      </c>
      <c r="B8" s="76">
        <v>44777</v>
      </c>
      <c r="C8" s="78" t="s">
        <v>18</v>
      </c>
      <c r="D8" s="72"/>
      <c r="E8" s="6" t="s">
        <v>11</v>
      </c>
      <c r="F8" s="76">
        <v>44957</v>
      </c>
      <c r="G8" s="13" t="s">
        <v>17</v>
      </c>
      <c r="H8" s="14" t="s">
        <v>19</v>
      </c>
    </row>
    <row r="9" spans="1:8" ht="15.75" thickBot="1" x14ac:dyDescent="0.3">
      <c r="A9" s="6" t="s">
        <v>10</v>
      </c>
      <c r="B9" s="76">
        <v>44806</v>
      </c>
      <c r="C9" s="86">
        <v>35</v>
      </c>
      <c r="D9" s="72"/>
      <c r="E9" s="9" t="s">
        <v>12</v>
      </c>
      <c r="F9" s="77">
        <v>44986</v>
      </c>
      <c r="G9" s="83">
        <v>2</v>
      </c>
      <c r="H9" s="85">
        <f>H6</f>
        <v>40</v>
      </c>
    </row>
    <row r="10" spans="1:8" x14ac:dyDescent="0.25">
      <c r="A10" s="66"/>
      <c r="B10" s="71"/>
      <c r="C10" s="67"/>
      <c r="D10" s="72"/>
      <c r="E10" s="72"/>
      <c r="F10" s="72"/>
      <c r="G10" s="72"/>
      <c r="H10" s="5"/>
    </row>
    <row r="11" spans="1:8" x14ac:dyDescent="0.25">
      <c r="A11" s="6" t="s">
        <v>9</v>
      </c>
      <c r="B11" s="76">
        <v>44807</v>
      </c>
      <c r="C11" s="78" t="s">
        <v>18</v>
      </c>
      <c r="D11" s="72"/>
      <c r="E11" s="72"/>
      <c r="F11" s="72"/>
      <c r="G11" s="72"/>
      <c r="H11" s="5"/>
    </row>
    <row r="12" spans="1:8" x14ac:dyDescent="0.25">
      <c r="A12" s="6" t="s">
        <v>10</v>
      </c>
      <c r="B12" s="76">
        <v>44836</v>
      </c>
      <c r="C12" s="86">
        <v>30</v>
      </c>
      <c r="D12" s="72"/>
      <c r="E12" s="72"/>
      <c r="F12" s="72"/>
      <c r="G12" s="72"/>
      <c r="H12" s="5"/>
    </row>
    <row r="13" spans="1:8" x14ac:dyDescent="0.25">
      <c r="A13" s="66"/>
      <c r="B13" s="71"/>
      <c r="C13" s="67"/>
      <c r="D13" s="72"/>
      <c r="E13" s="72"/>
      <c r="F13" s="72"/>
      <c r="G13" s="72"/>
      <c r="H13" s="5"/>
    </row>
    <row r="14" spans="1:8" x14ac:dyDescent="0.25">
      <c r="A14" s="6" t="s">
        <v>9</v>
      </c>
      <c r="B14" s="76">
        <v>44837</v>
      </c>
      <c r="C14" s="78" t="s">
        <v>18</v>
      </c>
      <c r="D14" s="72"/>
      <c r="E14" s="72"/>
      <c r="F14" s="72"/>
      <c r="G14" s="72"/>
      <c r="H14" s="5"/>
    </row>
    <row r="15" spans="1:8" x14ac:dyDescent="0.25">
      <c r="A15" s="6" t="s">
        <v>10</v>
      </c>
      <c r="B15" s="76">
        <v>44866</v>
      </c>
      <c r="C15" s="86">
        <v>40</v>
      </c>
      <c r="D15" s="72"/>
      <c r="E15" s="72"/>
      <c r="F15" s="72"/>
      <c r="G15" s="72"/>
      <c r="H15" s="5"/>
    </row>
    <row r="16" spans="1:8" x14ac:dyDescent="0.25">
      <c r="A16" s="66"/>
      <c r="B16" s="71"/>
      <c r="C16" s="67"/>
      <c r="D16" s="72"/>
      <c r="E16" s="72"/>
      <c r="F16" s="72"/>
      <c r="G16" s="72"/>
      <c r="H16" s="5"/>
    </row>
    <row r="17" spans="1:8" x14ac:dyDescent="0.25">
      <c r="A17" s="6" t="s">
        <v>9</v>
      </c>
      <c r="B17" s="76">
        <v>44867</v>
      </c>
      <c r="C17" s="78" t="s">
        <v>18</v>
      </c>
      <c r="D17" s="72"/>
      <c r="E17" s="72"/>
      <c r="F17" s="72"/>
      <c r="G17" s="72"/>
      <c r="H17" s="5"/>
    </row>
    <row r="18" spans="1:8" x14ac:dyDescent="0.25">
      <c r="A18" s="6" t="s">
        <v>10</v>
      </c>
      <c r="B18" s="76">
        <v>44896</v>
      </c>
      <c r="C18" s="86">
        <v>45</v>
      </c>
      <c r="D18" s="72"/>
      <c r="E18" s="72"/>
      <c r="F18" s="72"/>
      <c r="G18" s="72"/>
      <c r="H18" s="5"/>
    </row>
    <row r="19" spans="1:8" x14ac:dyDescent="0.25">
      <c r="A19" s="66"/>
      <c r="B19" s="71"/>
      <c r="C19" s="67"/>
      <c r="D19" s="72"/>
      <c r="E19" s="72"/>
      <c r="F19" s="72"/>
      <c r="G19" s="72"/>
      <c r="H19" s="5"/>
    </row>
    <row r="20" spans="1:8" x14ac:dyDescent="0.25">
      <c r="A20" s="6" t="s">
        <v>9</v>
      </c>
      <c r="B20" s="76">
        <v>44897</v>
      </c>
      <c r="C20" s="78" t="s">
        <v>18</v>
      </c>
      <c r="D20" s="72"/>
      <c r="E20" s="72"/>
      <c r="F20" s="72"/>
      <c r="G20" s="72"/>
      <c r="H20" s="5"/>
    </row>
    <row r="21" spans="1:8" ht="15.75" thickBot="1" x14ac:dyDescent="0.3">
      <c r="A21" s="9" t="s">
        <v>10</v>
      </c>
      <c r="B21" s="77">
        <v>44926</v>
      </c>
      <c r="C21" s="87">
        <v>40</v>
      </c>
      <c r="D21" s="24"/>
      <c r="E21" s="24"/>
      <c r="F21" s="24"/>
      <c r="G21" s="24"/>
      <c r="H21" s="74"/>
    </row>
  </sheetData>
  <mergeCells count="12">
    <mergeCell ref="A16:C16"/>
    <mergeCell ref="A19:C19"/>
    <mergeCell ref="E7:H7"/>
    <mergeCell ref="A4:C4"/>
    <mergeCell ref="A7:C7"/>
    <mergeCell ref="A10:C10"/>
    <mergeCell ref="A13:C13"/>
    <mergeCell ref="A3:C3"/>
    <mergeCell ref="E3:H3"/>
    <mergeCell ref="A1:H1"/>
    <mergeCell ref="A2:H2"/>
    <mergeCell ref="E4:H4"/>
  </mergeCells>
  <pageMargins left="0.511811024" right="0.511811024" top="0.78740157499999996" bottom="0.78740157499999996" header="0.31496062000000002" footer="0.31496062000000002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51DB7-F01C-487F-94D3-CC45BAE1B474}">
  <sheetPr codeName="Planilha7"/>
  <dimension ref="A1:W28"/>
  <sheetViews>
    <sheetView workbookViewId="0">
      <selection sqref="A1:P2"/>
    </sheetView>
  </sheetViews>
  <sheetFormatPr defaultRowHeight="15" x14ac:dyDescent="0.25"/>
  <cols>
    <col min="1" max="1" width="14" bestFit="1" customWidth="1"/>
    <col min="3" max="3" width="9.85546875" customWidth="1"/>
    <col min="4" max="4" width="3.85546875" customWidth="1"/>
    <col min="5" max="5" width="15.140625" bestFit="1" customWidth="1"/>
    <col min="6" max="6" width="11.28515625" customWidth="1"/>
    <col min="7" max="7" width="14.7109375" bestFit="1" customWidth="1"/>
    <col min="8" max="8" width="10.140625" customWidth="1"/>
    <col min="9" max="9" width="4.42578125" customWidth="1"/>
    <col min="10" max="10" width="30.140625" bestFit="1" customWidth="1"/>
    <col min="11" max="11" width="14.7109375" bestFit="1" customWidth="1"/>
    <col min="12" max="12" width="7.7109375" customWidth="1"/>
    <col min="13" max="13" width="13.85546875" bestFit="1" customWidth="1"/>
    <col min="15" max="15" width="13.140625" bestFit="1" customWidth="1"/>
    <col min="16" max="16" width="13.7109375" bestFit="1" customWidth="1"/>
  </cols>
  <sheetData>
    <row r="1" spans="1:23" ht="15.75" thickBot="1" x14ac:dyDescent="0.3">
      <c r="A1" s="61" t="s">
        <v>75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7"/>
    </row>
    <row r="2" spans="1:23" ht="15.75" thickBot="1" x14ac:dyDescent="0.3">
      <c r="A2" s="64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60"/>
    </row>
    <row r="3" spans="1:23" ht="15.75" thickBot="1" x14ac:dyDescent="0.3">
      <c r="A3" s="65" t="s">
        <v>14</v>
      </c>
      <c r="B3" s="62"/>
      <c r="C3" s="63"/>
      <c r="D3" s="72"/>
      <c r="E3" s="109" t="s">
        <v>24</v>
      </c>
      <c r="F3" s="110">
        <v>0.3</v>
      </c>
      <c r="G3" s="111" t="s">
        <v>25</v>
      </c>
      <c r="H3" s="112">
        <f>AVERAGE(F5:F10)</f>
        <v>33.367749999999994</v>
      </c>
      <c r="I3" s="72"/>
      <c r="J3" s="29" t="s">
        <v>38</v>
      </c>
      <c r="K3" s="30">
        <f>SUM(H5:H10) / (6)</f>
        <v>104.01005954166673</v>
      </c>
      <c r="L3" s="72"/>
      <c r="M3" s="104" t="s">
        <v>63</v>
      </c>
      <c r="N3" s="105"/>
      <c r="O3" s="105"/>
      <c r="P3" s="106"/>
    </row>
    <row r="4" spans="1:23" ht="15.75" thickBot="1" x14ac:dyDescent="0.3">
      <c r="A4" s="57"/>
      <c r="B4" s="70"/>
      <c r="C4" s="58"/>
      <c r="D4" s="72"/>
      <c r="E4" s="115" t="s">
        <v>26</v>
      </c>
      <c r="F4" s="116" t="s">
        <v>23</v>
      </c>
      <c r="G4" s="117" t="s">
        <v>36</v>
      </c>
      <c r="H4" s="118" t="s">
        <v>37</v>
      </c>
      <c r="I4" s="72"/>
      <c r="J4" s="9" t="s">
        <v>39</v>
      </c>
      <c r="K4" s="10">
        <f>SQRT(K3)</f>
        <v>10.198532224867789</v>
      </c>
      <c r="L4" s="72"/>
      <c r="M4" s="103"/>
      <c r="N4" s="47"/>
      <c r="O4" s="48"/>
      <c r="P4" s="108" t="s">
        <v>19</v>
      </c>
    </row>
    <row r="5" spans="1:23" ht="15.75" thickBot="1" x14ac:dyDescent="0.3">
      <c r="A5" s="6" t="s">
        <v>9</v>
      </c>
      <c r="B5" s="76">
        <v>45112</v>
      </c>
      <c r="C5" s="78" t="s">
        <v>18</v>
      </c>
      <c r="D5" s="72"/>
      <c r="E5" s="29" t="s">
        <v>59</v>
      </c>
      <c r="F5" s="30">
        <f>$F$3 * C6 + (1-$F$3 ) * C6</f>
        <v>30</v>
      </c>
      <c r="G5" s="52">
        <f>F5-C6</f>
        <v>0</v>
      </c>
      <c r="H5" s="30">
        <f>G5^2</f>
        <v>0</v>
      </c>
      <c r="I5" s="72"/>
      <c r="J5" s="72"/>
      <c r="K5" s="98"/>
      <c r="L5" s="72"/>
      <c r="M5" s="2"/>
      <c r="N5" s="3"/>
      <c r="O5" s="13"/>
      <c r="P5" s="89">
        <f>F3*C21+(1-F3) *F10</f>
        <v>40.738049999999987</v>
      </c>
    </row>
    <row r="6" spans="1:23" ht="15.75" thickBot="1" x14ac:dyDescent="0.3">
      <c r="A6" s="6" t="s">
        <v>10</v>
      </c>
      <c r="B6" s="76">
        <v>45141</v>
      </c>
      <c r="C6" s="86">
        <v>30</v>
      </c>
      <c r="D6" s="72"/>
      <c r="E6" s="6" t="s">
        <v>28</v>
      </c>
      <c r="F6" s="30">
        <f>$F$3 * C6 + (1-$F$3 ) * F5</f>
        <v>30</v>
      </c>
      <c r="G6" s="52">
        <f>F6-C9</f>
        <v>-5</v>
      </c>
      <c r="H6" s="8">
        <f t="shared" ref="H6:H10" si="0">G6^2</f>
        <v>25</v>
      </c>
      <c r="I6" s="72"/>
      <c r="J6" s="72"/>
      <c r="K6" s="72"/>
      <c r="L6" s="72"/>
      <c r="M6" s="72"/>
      <c r="N6" s="73"/>
      <c r="O6" s="91"/>
      <c r="P6" s="15"/>
    </row>
    <row r="7" spans="1:23" ht="15.75" thickBot="1" x14ac:dyDescent="0.3">
      <c r="A7" s="66"/>
      <c r="B7" s="71"/>
      <c r="C7" s="67"/>
      <c r="D7" s="72"/>
      <c r="E7" s="6" t="s">
        <v>27</v>
      </c>
      <c r="F7" s="30">
        <f>$F$3 * C9 + (1-$F$3 ) * F6</f>
        <v>31.5</v>
      </c>
      <c r="G7" s="52">
        <f>F7-C12</f>
        <v>0.5</v>
      </c>
      <c r="H7" s="8">
        <f t="shared" si="0"/>
        <v>0.25</v>
      </c>
      <c r="I7" s="72"/>
      <c r="J7" s="72"/>
      <c r="K7" s="72"/>
      <c r="L7" s="72"/>
      <c r="M7" s="72"/>
      <c r="N7" s="73"/>
      <c r="O7" s="91"/>
      <c r="P7" s="15"/>
      <c r="R7" s="64" t="s">
        <v>42</v>
      </c>
      <c r="S7" s="59"/>
      <c r="T7" s="59"/>
      <c r="U7" s="59"/>
      <c r="V7" s="59"/>
      <c r="W7" s="60"/>
    </row>
    <row r="8" spans="1:23" ht="15.75" thickBot="1" x14ac:dyDescent="0.3">
      <c r="A8" s="6" t="s">
        <v>9</v>
      </c>
      <c r="B8" s="76">
        <v>44777</v>
      </c>
      <c r="C8" s="78" t="s">
        <v>18</v>
      </c>
      <c r="D8" s="72"/>
      <c r="E8" s="6" t="s">
        <v>29</v>
      </c>
      <c r="F8" s="30">
        <f>$F$3 * C12 + (1-$F$3 ) * F7</f>
        <v>31.349999999999994</v>
      </c>
      <c r="G8" s="52">
        <f>F8-C15</f>
        <v>-23.650000000000006</v>
      </c>
      <c r="H8" s="8">
        <f t="shared" si="0"/>
        <v>559.32250000000022</v>
      </c>
      <c r="I8" s="72"/>
      <c r="J8" s="72"/>
      <c r="K8" s="72"/>
      <c r="L8" s="72"/>
      <c r="M8" s="72"/>
      <c r="N8" s="73"/>
      <c r="O8" s="91"/>
      <c r="P8" s="99"/>
      <c r="R8" s="123" t="s">
        <v>32</v>
      </c>
      <c r="S8" s="119" t="s">
        <v>68</v>
      </c>
      <c r="T8" s="119"/>
      <c r="U8" s="119"/>
      <c r="V8" s="119"/>
      <c r="W8" s="120"/>
    </row>
    <row r="9" spans="1:23" ht="15.75" thickBot="1" x14ac:dyDescent="0.3">
      <c r="A9" s="6" t="s">
        <v>10</v>
      </c>
      <c r="B9" s="76">
        <v>44806</v>
      </c>
      <c r="C9" s="86">
        <v>35</v>
      </c>
      <c r="D9" s="72"/>
      <c r="E9" s="6" t="s">
        <v>30</v>
      </c>
      <c r="F9" s="30">
        <f>$F$3 * C15 + (1-$F$3 ) * F8</f>
        <v>38.444999999999993</v>
      </c>
      <c r="G9" s="52">
        <f>F9-C18</f>
        <v>-1.5550000000000068</v>
      </c>
      <c r="H9" s="8">
        <f t="shared" si="0"/>
        <v>2.4180250000000214</v>
      </c>
      <c r="I9" s="72"/>
      <c r="J9" s="72"/>
      <c r="K9" s="72"/>
      <c r="L9" s="72"/>
      <c r="M9" s="72"/>
      <c r="N9" s="72"/>
      <c r="O9" s="72"/>
      <c r="P9" s="5"/>
      <c r="R9" s="37" t="s">
        <v>33</v>
      </c>
      <c r="S9" s="119" t="s">
        <v>69</v>
      </c>
      <c r="T9" s="119"/>
      <c r="U9" s="119"/>
      <c r="V9" s="119"/>
      <c r="W9" s="120"/>
    </row>
    <row r="10" spans="1:23" ht="15.75" thickBot="1" x14ac:dyDescent="0.3">
      <c r="A10" s="66"/>
      <c r="B10" s="71"/>
      <c r="C10" s="67"/>
      <c r="D10" s="72"/>
      <c r="E10" s="9" t="s">
        <v>31</v>
      </c>
      <c r="F10" s="30">
        <f>$F$3 * C18 + (1-$F$3 ) * F9</f>
        <v>38.91149999999999</v>
      </c>
      <c r="G10" s="52">
        <f>F10-C21</f>
        <v>-6.0885000000000105</v>
      </c>
      <c r="H10" s="10">
        <f t="shared" si="0"/>
        <v>37.069832250000125</v>
      </c>
      <c r="I10" s="72"/>
      <c r="J10" s="72"/>
      <c r="K10" s="72"/>
      <c r="L10" s="72"/>
      <c r="M10" s="72"/>
      <c r="N10" s="72"/>
      <c r="O10" s="72"/>
      <c r="P10" s="92"/>
      <c r="R10" s="37" t="s">
        <v>34</v>
      </c>
      <c r="S10" s="119" t="s">
        <v>66</v>
      </c>
      <c r="T10" s="119"/>
      <c r="U10" s="119"/>
      <c r="V10" s="119"/>
      <c r="W10" s="120"/>
    </row>
    <row r="11" spans="1:23" ht="15.75" thickBot="1" x14ac:dyDescent="0.3">
      <c r="A11" s="6" t="s">
        <v>9</v>
      </c>
      <c r="B11" s="76">
        <v>44807</v>
      </c>
      <c r="C11" s="78" t="s">
        <v>18</v>
      </c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5"/>
      <c r="R11" s="37" t="s">
        <v>35</v>
      </c>
      <c r="S11" s="119" t="s">
        <v>67</v>
      </c>
      <c r="T11" s="119"/>
      <c r="U11" s="119"/>
      <c r="V11" s="119"/>
      <c r="W11" s="120"/>
    </row>
    <row r="12" spans="1:23" ht="15.75" thickBot="1" x14ac:dyDescent="0.3">
      <c r="A12" s="6" t="s">
        <v>10</v>
      </c>
      <c r="B12" s="76">
        <v>44836</v>
      </c>
      <c r="C12" s="86">
        <v>31</v>
      </c>
      <c r="D12" s="72"/>
      <c r="E12" s="113" t="s">
        <v>24</v>
      </c>
      <c r="F12" s="114">
        <v>0.5</v>
      </c>
      <c r="G12" s="111" t="s">
        <v>25</v>
      </c>
      <c r="H12" s="112">
        <f>AVERAGE(F14:F19)</f>
        <v>34.885416666666664</v>
      </c>
      <c r="I12" s="72"/>
      <c r="J12" s="29" t="s">
        <v>38</v>
      </c>
      <c r="K12" s="30">
        <f>SUM(H14:H19) / (6)</f>
        <v>98.362630208333329</v>
      </c>
      <c r="L12" s="72"/>
      <c r="M12" s="104" t="s">
        <v>64</v>
      </c>
      <c r="N12" s="105"/>
      <c r="O12" s="105"/>
      <c r="P12" s="106"/>
      <c r="R12" s="124" t="s">
        <v>40</v>
      </c>
      <c r="S12" s="121" t="s">
        <v>41</v>
      </c>
      <c r="T12" s="121"/>
      <c r="U12" s="121"/>
      <c r="V12" s="121"/>
      <c r="W12" s="122"/>
    </row>
    <row r="13" spans="1:23" ht="15.75" thickBot="1" x14ac:dyDescent="0.3">
      <c r="A13" s="66"/>
      <c r="B13" s="71"/>
      <c r="C13" s="67"/>
      <c r="D13" s="72"/>
      <c r="E13" s="115" t="s">
        <v>26</v>
      </c>
      <c r="F13" s="116" t="s">
        <v>23</v>
      </c>
      <c r="G13" s="117" t="s">
        <v>36</v>
      </c>
      <c r="H13" s="118" t="s">
        <v>37</v>
      </c>
      <c r="I13" s="72"/>
      <c r="J13" s="9" t="s">
        <v>39</v>
      </c>
      <c r="K13" s="10">
        <f>SQRT(K12)</f>
        <v>9.9177936159376365</v>
      </c>
      <c r="L13" s="72"/>
      <c r="M13" s="103"/>
      <c r="N13" s="47"/>
      <c r="O13" s="48"/>
      <c r="P13" s="108" t="s">
        <v>19</v>
      </c>
    </row>
    <row r="14" spans="1:23" ht="15.75" thickBot="1" x14ac:dyDescent="0.3">
      <c r="A14" s="6" t="s">
        <v>9</v>
      </c>
      <c r="B14" s="76">
        <v>44837</v>
      </c>
      <c r="C14" s="78" t="s">
        <v>18</v>
      </c>
      <c r="D14" s="72"/>
      <c r="E14" s="29" t="s">
        <v>59</v>
      </c>
      <c r="F14" s="30">
        <f>C6+($F$12*(C6-C6))</f>
        <v>30</v>
      </c>
      <c r="G14" s="52">
        <f>F14-C6</f>
        <v>0</v>
      </c>
      <c r="H14" s="30">
        <f>G14^2</f>
        <v>0</v>
      </c>
      <c r="I14" s="72"/>
      <c r="J14" s="72"/>
      <c r="K14" s="98" t="b">
        <f>IF(AND(K13&lt;K4, K13&lt;K22),TRUE,FALSE)</f>
        <v>1</v>
      </c>
      <c r="L14" s="72"/>
      <c r="M14" s="2"/>
      <c r="N14" s="3"/>
      <c r="O14" s="13"/>
      <c r="P14" s="89">
        <f>F12*C21+(1-F12) *F19</f>
        <v>43.34375</v>
      </c>
    </row>
    <row r="15" spans="1:23" ht="15.75" thickBot="1" x14ac:dyDescent="0.3">
      <c r="A15" s="6" t="s">
        <v>10</v>
      </c>
      <c r="B15" s="76">
        <v>44866</v>
      </c>
      <c r="C15" s="86">
        <v>55</v>
      </c>
      <c r="D15" s="72"/>
      <c r="E15" s="6" t="s">
        <v>28</v>
      </c>
      <c r="F15" s="8">
        <f>F14+($F$12*(C6-F14))</f>
        <v>30</v>
      </c>
      <c r="G15" s="52">
        <f>F15-C9</f>
        <v>-5</v>
      </c>
      <c r="H15" s="8">
        <f t="shared" ref="H15:H19" si="1">G15^2</f>
        <v>25</v>
      </c>
      <c r="I15" s="72"/>
      <c r="J15" s="72"/>
      <c r="K15" s="72"/>
      <c r="L15" s="72"/>
      <c r="M15" s="72"/>
      <c r="N15" s="72"/>
      <c r="O15" s="72"/>
      <c r="P15" s="5"/>
    </row>
    <row r="16" spans="1:23" ht="15.75" thickBot="1" x14ac:dyDescent="0.3">
      <c r="A16" s="66"/>
      <c r="B16" s="71"/>
      <c r="C16" s="67"/>
      <c r="D16" s="72"/>
      <c r="E16" s="6" t="s">
        <v>27</v>
      </c>
      <c r="F16" s="8">
        <f>F15+($F$12*(C9-F15))</f>
        <v>32.5</v>
      </c>
      <c r="G16" s="52">
        <f>F16-C12</f>
        <v>1.5</v>
      </c>
      <c r="H16" s="8">
        <f t="shared" si="1"/>
        <v>2.25</v>
      </c>
      <c r="I16" s="72"/>
      <c r="J16" s="72"/>
      <c r="K16" s="72"/>
      <c r="L16" s="72"/>
      <c r="M16" s="72"/>
      <c r="N16" s="72"/>
      <c r="O16" s="72"/>
      <c r="P16" s="5"/>
    </row>
    <row r="17" spans="1:16" ht="15.75" thickBot="1" x14ac:dyDescent="0.3">
      <c r="A17" s="6" t="s">
        <v>9</v>
      </c>
      <c r="B17" s="76">
        <v>44867</v>
      </c>
      <c r="C17" s="78" t="s">
        <v>18</v>
      </c>
      <c r="D17" s="72"/>
      <c r="E17" s="6" t="s">
        <v>29</v>
      </c>
      <c r="F17" s="8">
        <f>F16+($F$12*(C12-F16))</f>
        <v>31.75</v>
      </c>
      <c r="G17" s="52">
        <f>F17-C15</f>
        <v>-23.25</v>
      </c>
      <c r="H17" s="8">
        <f t="shared" si="1"/>
        <v>540.5625</v>
      </c>
      <c r="I17" s="72"/>
      <c r="J17" s="72"/>
      <c r="K17" s="72"/>
      <c r="L17" s="72"/>
      <c r="M17" s="72"/>
      <c r="N17" s="72"/>
      <c r="O17" s="72"/>
      <c r="P17" s="5"/>
    </row>
    <row r="18" spans="1:16" ht="15.75" thickBot="1" x14ac:dyDescent="0.3">
      <c r="A18" s="6" t="s">
        <v>10</v>
      </c>
      <c r="B18" s="76">
        <v>44896</v>
      </c>
      <c r="C18" s="86">
        <v>40</v>
      </c>
      <c r="D18" s="72"/>
      <c r="E18" s="6" t="s">
        <v>30</v>
      </c>
      <c r="F18" s="8">
        <f>F17+($F$12*(C15-F17))</f>
        <v>43.375</v>
      </c>
      <c r="G18" s="52">
        <f>F18-C18</f>
        <v>3.375</v>
      </c>
      <c r="H18" s="8">
        <f t="shared" si="1"/>
        <v>11.390625</v>
      </c>
      <c r="I18" s="72"/>
      <c r="J18" s="72"/>
      <c r="K18" s="72"/>
      <c r="L18" s="72"/>
      <c r="M18" s="72"/>
      <c r="N18" s="72"/>
      <c r="O18" s="72"/>
      <c r="P18" s="5"/>
    </row>
    <row r="19" spans="1:16" ht="15.75" thickBot="1" x14ac:dyDescent="0.3">
      <c r="A19" s="66"/>
      <c r="B19" s="71"/>
      <c r="C19" s="67"/>
      <c r="D19" s="72"/>
      <c r="E19" s="9" t="s">
        <v>31</v>
      </c>
      <c r="F19" s="10">
        <f>F18+($F$12*(C18-F18))</f>
        <v>41.6875</v>
      </c>
      <c r="G19" s="52">
        <f>F19-C21</f>
        <v>-3.3125</v>
      </c>
      <c r="H19" s="10">
        <f t="shared" si="1"/>
        <v>10.97265625</v>
      </c>
      <c r="I19" s="72"/>
      <c r="J19" s="72"/>
      <c r="K19" s="72"/>
      <c r="L19" s="72"/>
      <c r="M19" s="72"/>
      <c r="N19" s="72"/>
      <c r="O19" s="72"/>
      <c r="P19" s="5"/>
    </row>
    <row r="20" spans="1:16" ht="15.75" thickBot="1" x14ac:dyDescent="0.3">
      <c r="A20" s="6" t="s">
        <v>9</v>
      </c>
      <c r="B20" s="76">
        <v>44897</v>
      </c>
      <c r="C20" s="78" t="s">
        <v>18</v>
      </c>
      <c r="D20" s="72"/>
      <c r="E20" s="72"/>
      <c r="F20" s="72"/>
      <c r="G20" s="72"/>
      <c r="H20" s="72"/>
      <c r="I20" s="72"/>
      <c r="J20" s="72"/>
      <c r="K20" s="72"/>
      <c r="L20" s="100"/>
      <c r="M20" s="104" t="s">
        <v>65</v>
      </c>
      <c r="N20" s="105"/>
      <c r="O20" s="105"/>
      <c r="P20" s="106"/>
    </row>
    <row r="21" spans="1:16" ht="15.75" thickBot="1" x14ac:dyDescent="0.3">
      <c r="A21" s="9" t="s">
        <v>10</v>
      </c>
      <c r="B21" s="77">
        <v>44926</v>
      </c>
      <c r="C21" s="87">
        <v>45</v>
      </c>
      <c r="D21" s="72"/>
      <c r="E21" s="109" t="s">
        <v>24</v>
      </c>
      <c r="F21" s="110">
        <v>0.8</v>
      </c>
      <c r="G21" s="111" t="s">
        <v>25</v>
      </c>
      <c r="H21" s="112">
        <f>AVERAGE(F23:F28)</f>
        <v>36.330666666666666</v>
      </c>
      <c r="I21" s="101"/>
      <c r="J21" s="29" t="s">
        <v>38</v>
      </c>
      <c r="K21" s="30">
        <f>SUM(H23:H28) / (6)</f>
        <v>116.11374933333332</v>
      </c>
      <c r="L21" s="101"/>
      <c r="M21" s="107"/>
      <c r="N21" s="47"/>
      <c r="O21" s="48"/>
      <c r="P21" s="108" t="s">
        <v>19</v>
      </c>
    </row>
    <row r="22" spans="1:16" ht="15.75" thickBot="1" x14ac:dyDescent="0.3">
      <c r="A22" s="4"/>
      <c r="B22" s="72"/>
      <c r="C22" s="72"/>
      <c r="D22" s="72"/>
      <c r="E22" s="115" t="s">
        <v>26</v>
      </c>
      <c r="F22" s="116" t="s">
        <v>23</v>
      </c>
      <c r="G22" s="117" t="s">
        <v>36</v>
      </c>
      <c r="H22" s="118" t="s">
        <v>37</v>
      </c>
      <c r="I22" s="72"/>
      <c r="J22" s="9" t="s">
        <v>39</v>
      </c>
      <c r="K22" s="10">
        <f>SQRT(K21)</f>
        <v>10.7756090005778</v>
      </c>
      <c r="L22" s="72"/>
      <c r="M22" s="2"/>
      <c r="N22" s="3"/>
      <c r="O22" s="13"/>
      <c r="P22" s="89">
        <f>F21*C21+(1-F21) *F28</f>
        <v>44.412799999999997</v>
      </c>
    </row>
    <row r="23" spans="1:16" ht="15.75" thickBot="1" x14ac:dyDescent="0.3">
      <c r="A23" s="4"/>
      <c r="B23" s="72"/>
      <c r="C23" s="72"/>
      <c r="D23" s="72"/>
      <c r="E23" s="29" t="s">
        <v>59</v>
      </c>
      <c r="F23" s="30">
        <f>C6+($F$21*(C6-C6))</f>
        <v>30</v>
      </c>
      <c r="G23" s="52">
        <f>F23-C6</f>
        <v>0</v>
      </c>
      <c r="H23" s="30">
        <f>G23^2</f>
        <v>0</v>
      </c>
      <c r="I23" s="72"/>
      <c r="J23" s="72"/>
      <c r="K23" s="98" t="b">
        <f>IF(AND(K22&lt;K4, K22&lt;K13),TRUE,FALSE)</f>
        <v>0</v>
      </c>
      <c r="L23" s="72"/>
      <c r="M23" s="72"/>
      <c r="N23" s="72"/>
      <c r="O23" s="72"/>
      <c r="P23" s="5"/>
    </row>
    <row r="24" spans="1:16" ht="15.75" thickBot="1" x14ac:dyDescent="0.3">
      <c r="A24" s="4"/>
      <c r="B24" s="72"/>
      <c r="C24" s="72"/>
      <c r="D24" s="72"/>
      <c r="E24" s="6" t="s">
        <v>28</v>
      </c>
      <c r="F24" s="8">
        <f>F23+($F$21*(C6-F23))</f>
        <v>30</v>
      </c>
      <c r="G24" s="52">
        <f>F24-C9</f>
        <v>-5</v>
      </c>
      <c r="H24" s="8">
        <f t="shared" ref="H24:H28" si="2">G24^2</f>
        <v>25</v>
      </c>
      <c r="I24" s="72"/>
      <c r="J24" s="72"/>
      <c r="K24" s="72"/>
      <c r="L24" s="72"/>
      <c r="M24" s="72"/>
      <c r="N24" s="72"/>
      <c r="O24" s="72"/>
      <c r="P24" s="5"/>
    </row>
    <row r="25" spans="1:16" ht="15.75" thickBot="1" x14ac:dyDescent="0.3">
      <c r="A25" s="4"/>
      <c r="B25" s="72"/>
      <c r="C25" s="72"/>
      <c r="D25" s="72"/>
      <c r="E25" s="6" t="s">
        <v>27</v>
      </c>
      <c r="F25" s="8">
        <f>F24+($F$21*(C9-F24))</f>
        <v>34</v>
      </c>
      <c r="G25" s="52">
        <f>F25-C12</f>
        <v>3</v>
      </c>
      <c r="H25" s="8">
        <f t="shared" si="2"/>
        <v>9</v>
      </c>
      <c r="I25" s="72"/>
      <c r="J25" s="72"/>
      <c r="K25" s="72"/>
      <c r="L25" s="72"/>
      <c r="M25" s="72"/>
      <c r="N25" s="72"/>
      <c r="O25" s="72"/>
      <c r="P25" s="5"/>
    </row>
    <row r="26" spans="1:16" ht="15.75" thickBot="1" x14ac:dyDescent="0.3">
      <c r="A26" s="4"/>
      <c r="B26" s="72"/>
      <c r="C26" s="72"/>
      <c r="D26" s="72"/>
      <c r="E26" s="6" t="s">
        <v>29</v>
      </c>
      <c r="F26" s="8">
        <f>F25+($F$21*(C12-F25))</f>
        <v>31.6</v>
      </c>
      <c r="G26" s="52">
        <f>F26-C15</f>
        <v>-23.4</v>
      </c>
      <c r="H26" s="8">
        <f t="shared" si="2"/>
        <v>547.55999999999995</v>
      </c>
      <c r="I26" s="72"/>
      <c r="J26" s="72"/>
      <c r="K26" s="72"/>
      <c r="L26" s="72"/>
      <c r="M26" s="72"/>
      <c r="N26" s="72"/>
      <c r="O26" s="72"/>
      <c r="P26" s="5"/>
    </row>
    <row r="27" spans="1:16" ht="15.75" thickBot="1" x14ac:dyDescent="0.3">
      <c r="A27" s="4"/>
      <c r="B27" s="72"/>
      <c r="C27" s="72"/>
      <c r="D27" s="72"/>
      <c r="E27" s="6" t="s">
        <v>30</v>
      </c>
      <c r="F27" s="8">
        <f>F26+($F$21*(C15-F26))</f>
        <v>50.32</v>
      </c>
      <c r="G27" s="52">
        <f>F27-C18</f>
        <v>10.32</v>
      </c>
      <c r="H27" s="8">
        <f t="shared" si="2"/>
        <v>106.50240000000001</v>
      </c>
      <c r="I27" s="72"/>
      <c r="J27" s="72"/>
      <c r="K27" s="72"/>
      <c r="L27" s="72"/>
      <c r="M27" s="72"/>
      <c r="N27" s="72"/>
      <c r="O27" s="72"/>
      <c r="P27" s="5"/>
    </row>
    <row r="28" spans="1:16" ht="15.75" thickBot="1" x14ac:dyDescent="0.3">
      <c r="A28" s="21"/>
      <c r="B28" s="24"/>
      <c r="C28" s="24"/>
      <c r="D28" s="24"/>
      <c r="E28" s="9" t="s">
        <v>31</v>
      </c>
      <c r="F28" s="10">
        <f>F27+($F$21*(C18-F27))</f>
        <v>42.064</v>
      </c>
      <c r="G28" s="102">
        <f>F28-C21</f>
        <v>-2.9359999999999999</v>
      </c>
      <c r="H28" s="10">
        <f t="shared" si="2"/>
        <v>8.6200960000000002</v>
      </c>
      <c r="I28" s="24"/>
      <c r="J28" s="24"/>
      <c r="K28" s="24"/>
      <c r="L28" s="24"/>
      <c r="M28" s="24"/>
      <c r="N28" s="24"/>
      <c r="O28" s="24"/>
      <c r="P28" s="74"/>
    </row>
  </sheetData>
  <mergeCells count="18">
    <mergeCell ref="R7:W7"/>
    <mergeCell ref="S8:W8"/>
    <mergeCell ref="S9:W9"/>
    <mergeCell ref="S10:W10"/>
    <mergeCell ref="S11:W11"/>
    <mergeCell ref="S12:W12"/>
    <mergeCell ref="A3:C3"/>
    <mergeCell ref="M3:P3"/>
    <mergeCell ref="M12:P12"/>
    <mergeCell ref="M20:P20"/>
    <mergeCell ref="A1:P1"/>
    <mergeCell ref="A2:P2"/>
    <mergeCell ref="A4:C4"/>
    <mergeCell ref="A7:C7"/>
    <mergeCell ref="A10:C10"/>
    <mergeCell ref="A13:C13"/>
    <mergeCell ref="A16:C16"/>
    <mergeCell ref="A19:C19"/>
  </mergeCells>
  <conditionalFormatting sqref="K4">
    <cfRule type="expression" dxfId="2" priority="3">
      <formula>$K$5</formula>
    </cfRule>
  </conditionalFormatting>
  <conditionalFormatting sqref="K13">
    <cfRule type="expression" dxfId="1" priority="2">
      <formula>$K$14</formula>
    </cfRule>
  </conditionalFormatting>
  <conditionalFormatting sqref="K22">
    <cfRule type="expression" dxfId="0" priority="1">
      <formula>$K$23</formula>
    </cfRule>
  </conditionalFormatting>
  <pageMargins left="0.511811024" right="0.511811024" top="0.78740157499999996" bottom="0.78740157499999996" header="0.31496062000000002" footer="0.31496062000000002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A16D0-477D-4B66-9D69-DC1FB752F2CC}">
  <sheetPr codeName="Planilha8"/>
  <dimension ref="A1:O22"/>
  <sheetViews>
    <sheetView workbookViewId="0">
      <selection sqref="A1:O2"/>
    </sheetView>
  </sheetViews>
  <sheetFormatPr defaultRowHeight="15" x14ac:dyDescent="0.25"/>
  <cols>
    <col min="1" max="1" width="14" bestFit="1" customWidth="1"/>
    <col min="3" max="3" width="11.5703125" customWidth="1"/>
    <col min="8" max="8" width="13.85546875" bestFit="1" customWidth="1"/>
    <col min="9" max="9" width="9.5703125" bestFit="1" customWidth="1"/>
    <col min="10" max="10" width="13.140625" bestFit="1" customWidth="1"/>
    <col min="11" max="11" width="13.7109375" bestFit="1" customWidth="1"/>
    <col min="16" max="18" width="9.140625" customWidth="1"/>
  </cols>
  <sheetData>
    <row r="1" spans="1:15" ht="15.75" thickBot="1" x14ac:dyDescent="0.3">
      <c r="A1" s="61" t="s">
        <v>76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7"/>
    </row>
    <row r="2" spans="1:15" ht="15.75" thickBot="1" x14ac:dyDescent="0.3">
      <c r="A2" s="64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60"/>
    </row>
    <row r="3" spans="1:15" ht="15.75" thickBot="1" x14ac:dyDescent="0.3">
      <c r="A3" s="65" t="s">
        <v>14</v>
      </c>
      <c r="B3" s="62"/>
      <c r="C3" s="62"/>
      <c r="D3" s="63"/>
      <c r="E3" s="72"/>
      <c r="F3" s="72"/>
      <c r="G3" s="72"/>
      <c r="H3" s="38" t="s">
        <v>57</v>
      </c>
      <c r="I3" s="30">
        <f>SUM(E6,E9,E12,E15,E18,E21)</f>
        <v>8250</v>
      </c>
      <c r="J3" s="72"/>
      <c r="K3" s="129" t="s">
        <v>49</v>
      </c>
      <c r="L3" s="30">
        <f>I3*I4</f>
        <v>173250</v>
      </c>
      <c r="M3" s="72"/>
      <c r="N3" s="129" t="s">
        <v>54</v>
      </c>
      <c r="O3" s="30">
        <f>D22*I6</f>
        <v>4890</v>
      </c>
    </row>
    <row r="4" spans="1:15" ht="15.75" thickBot="1" x14ac:dyDescent="0.3">
      <c r="A4" s="4"/>
      <c r="B4" s="72"/>
      <c r="C4" s="80" t="s">
        <v>44</v>
      </c>
      <c r="D4" s="31" t="s">
        <v>45</v>
      </c>
      <c r="E4" s="21"/>
      <c r="F4" s="24"/>
      <c r="G4" s="72"/>
      <c r="H4" s="39" t="s">
        <v>46</v>
      </c>
      <c r="I4" s="8">
        <f>SUM(D6,D9,D12,D15,D18,D21)</f>
        <v>21</v>
      </c>
      <c r="J4" s="72"/>
      <c r="K4" s="130" t="s">
        <v>50</v>
      </c>
      <c r="L4" s="8">
        <f>I5*I6</f>
        <v>179300</v>
      </c>
      <c r="M4" s="72"/>
      <c r="N4" s="130" t="s">
        <v>55</v>
      </c>
      <c r="O4" s="8">
        <f>I5*I4</f>
        <v>4620</v>
      </c>
    </row>
    <row r="5" spans="1:15" x14ac:dyDescent="0.25">
      <c r="A5" s="6" t="s">
        <v>9</v>
      </c>
      <c r="B5" s="76">
        <v>45112</v>
      </c>
      <c r="C5" s="53" t="s">
        <v>18</v>
      </c>
      <c r="D5" s="53" t="s">
        <v>43</v>
      </c>
      <c r="E5" s="34" t="s">
        <v>60</v>
      </c>
      <c r="F5" s="32" t="s">
        <v>48</v>
      </c>
      <c r="G5" s="72"/>
      <c r="H5" s="39" t="s">
        <v>58</v>
      </c>
      <c r="I5" s="40">
        <f>SUM(C6,C9,C12,C15,C18,C21)</f>
        <v>220</v>
      </c>
      <c r="J5" s="72"/>
      <c r="K5" s="132" t="s">
        <v>51</v>
      </c>
      <c r="L5" s="8">
        <f>D22*I3</f>
        <v>49500</v>
      </c>
      <c r="M5" s="72"/>
      <c r="N5" s="132" t="s">
        <v>51</v>
      </c>
      <c r="O5" s="8">
        <f>D22*I3</f>
        <v>49500</v>
      </c>
    </row>
    <row r="6" spans="1:15" ht="15.75" thickBot="1" x14ac:dyDescent="0.3">
      <c r="A6" s="6" t="s">
        <v>10</v>
      </c>
      <c r="B6" s="76">
        <v>45141</v>
      </c>
      <c r="C6" s="125">
        <v>30</v>
      </c>
      <c r="D6" s="53">
        <v>1</v>
      </c>
      <c r="E6" s="20">
        <f>C6*C6</f>
        <v>900</v>
      </c>
      <c r="F6" s="10">
        <f>C6*D6</f>
        <v>30</v>
      </c>
      <c r="G6" s="72"/>
      <c r="H6" s="41" t="s">
        <v>47</v>
      </c>
      <c r="I6" s="10">
        <f>SUM(F6,F9,F12,F15,F18,F21)</f>
        <v>815</v>
      </c>
      <c r="J6" s="72"/>
      <c r="K6" s="131" t="s">
        <v>52</v>
      </c>
      <c r="L6" s="8">
        <f>I5*I5</f>
        <v>48400</v>
      </c>
      <c r="M6" s="72"/>
      <c r="N6" s="131" t="s">
        <v>52</v>
      </c>
      <c r="O6" s="8">
        <f>I5*I5</f>
        <v>48400</v>
      </c>
    </row>
    <row r="7" spans="1:15" ht="15.75" thickBot="1" x14ac:dyDescent="0.3">
      <c r="A7" s="4"/>
      <c r="B7" s="90"/>
      <c r="C7" s="80"/>
      <c r="D7" s="31"/>
      <c r="E7" s="72"/>
      <c r="F7" s="72"/>
      <c r="G7" s="72"/>
      <c r="H7" s="72"/>
      <c r="I7" s="72"/>
      <c r="J7" s="72"/>
      <c r="K7" s="42" t="s">
        <v>53</v>
      </c>
      <c r="L7" s="43">
        <f>(L3-L4)/(L5-L6)</f>
        <v>-5.5</v>
      </c>
      <c r="M7" s="72"/>
      <c r="N7" s="42" t="s">
        <v>56</v>
      </c>
      <c r="O7" s="43">
        <f>(O3-O4)/(O5-O6)</f>
        <v>0.24545454545454545</v>
      </c>
    </row>
    <row r="8" spans="1:15" ht="15.75" thickBot="1" x14ac:dyDescent="0.3">
      <c r="A8" s="6" t="s">
        <v>9</v>
      </c>
      <c r="B8" s="76">
        <v>45142</v>
      </c>
      <c r="C8" s="53" t="s">
        <v>18</v>
      </c>
      <c r="D8" s="78" t="s">
        <v>43</v>
      </c>
      <c r="E8" s="21"/>
      <c r="F8" s="24"/>
      <c r="G8" s="72"/>
      <c r="H8" s="72"/>
      <c r="I8" s="72"/>
      <c r="J8" s="72"/>
      <c r="K8" s="72"/>
      <c r="L8" s="72"/>
      <c r="M8" s="72"/>
      <c r="N8" s="72"/>
      <c r="O8" s="5"/>
    </row>
    <row r="9" spans="1:15" ht="15.75" thickBot="1" x14ac:dyDescent="0.3">
      <c r="A9" s="6" t="s">
        <v>10</v>
      </c>
      <c r="B9" s="76">
        <v>45171</v>
      </c>
      <c r="C9" s="125">
        <v>35</v>
      </c>
      <c r="D9" s="126">
        <v>2</v>
      </c>
      <c r="E9" s="35">
        <f>C9*C9</f>
        <v>1225</v>
      </c>
      <c r="F9" s="36">
        <f>C9*D9</f>
        <v>70</v>
      </c>
      <c r="G9" s="37"/>
      <c r="H9" s="65" t="s">
        <v>13</v>
      </c>
      <c r="I9" s="62"/>
      <c r="J9" s="62"/>
      <c r="K9" s="63"/>
      <c r="L9" s="72"/>
      <c r="M9" s="72"/>
      <c r="N9" s="72"/>
      <c r="O9" s="5"/>
    </row>
    <row r="10" spans="1:15" x14ac:dyDescent="0.25">
      <c r="A10" s="4"/>
      <c r="B10" s="90"/>
      <c r="C10" s="80"/>
      <c r="D10" s="31"/>
      <c r="E10" s="72"/>
      <c r="F10" s="72"/>
      <c r="G10" s="72"/>
      <c r="H10" s="46" t="s">
        <v>11</v>
      </c>
      <c r="I10" s="47">
        <v>44927</v>
      </c>
      <c r="J10" s="48" t="s">
        <v>17</v>
      </c>
      <c r="K10" s="49" t="s">
        <v>19</v>
      </c>
      <c r="L10" s="72"/>
      <c r="M10" s="72" t="s">
        <v>61</v>
      </c>
      <c r="N10" s="72">
        <f>((I3*I4)-(I5*I6)) / ((D22*I3) - (I5^2))</f>
        <v>-5.5</v>
      </c>
      <c r="O10" s="5"/>
    </row>
    <row r="11" spans="1:15" ht="15.75" thickBot="1" x14ac:dyDescent="0.3">
      <c r="A11" s="6" t="s">
        <v>9</v>
      </c>
      <c r="B11" s="76">
        <v>45172</v>
      </c>
      <c r="C11" s="53" t="s">
        <v>18</v>
      </c>
      <c r="D11" s="78" t="s">
        <v>43</v>
      </c>
      <c r="E11" s="21"/>
      <c r="F11" s="24"/>
      <c r="G11" s="72">
        <v>7</v>
      </c>
      <c r="H11" s="6" t="s">
        <v>12</v>
      </c>
      <c r="I11" s="3">
        <v>44956</v>
      </c>
      <c r="J11" s="13">
        <v>3</v>
      </c>
      <c r="K11" s="19">
        <f>(G11-$L$7)/$O$7</f>
        <v>50.925925925925924</v>
      </c>
      <c r="L11" s="101"/>
      <c r="M11" s="72" t="s">
        <v>62</v>
      </c>
      <c r="N11" s="72">
        <f>((D22*I6)-(I5*I4)) / ((D22*I3) - I5^2)</f>
        <v>0.24545454545454545</v>
      </c>
      <c r="O11" s="5"/>
    </row>
    <row r="12" spans="1:15" ht="15.75" thickBot="1" x14ac:dyDescent="0.3">
      <c r="A12" s="6" t="s">
        <v>10</v>
      </c>
      <c r="B12" s="76">
        <v>45201</v>
      </c>
      <c r="C12" s="125">
        <v>30</v>
      </c>
      <c r="D12" s="126">
        <v>3</v>
      </c>
      <c r="E12" s="35">
        <f>C12*C12</f>
        <v>900</v>
      </c>
      <c r="F12" s="36">
        <f>C12*D12</f>
        <v>90</v>
      </c>
      <c r="G12" s="37"/>
      <c r="H12" s="4"/>
      <c r="I12" s="73"/>
      <c r="J12" s="91"/>
      <c r="K12" s="15"/>
      <c r="L12" s="72"/>
      <c r="M12" s="72"/>
      <c r="N12" s="72"/>
      <c r="O12" s="5"/>
    </row>
    <row r="13" spans="1:15" x14ac:dyDescent="0.25">
      <c r="A13" s="4"/>
      <c r="B13" s="90"/>
      <c r="C13" s="80"/>
      <c r="D13" s="31"/>
      <c r="E13" s="72"/>
      <c r="F13" s="72"/>
      <c r="G13" s="72"/>
      <c r="H13" s="6" t="s">
        <v>11</v>
      </c>
      <c r="I13" s="3">
        <v>44957</v>
      </c>
      <c r="J13" s="13" t="s">
        <v>17</v>
      </c>
      <c r="K13" s="14" t="s">
        <v>19</v>
      </c>
      <c r="L13" s="72"/>
      <c r="M13" s="72"/>
      <c r="N13" s="72"/>
      <c r="O13" s="5"/>
    </row>
    <row r="14" spans="1:15" ht="15.75" thickBot="1" x14ac:dyDescent="0.3">
      <c r="A14" s="6" t="s">
        <v>9</v>
      </c>
      <c r="B14" s="76">
        <v>45202</v>
      </c>
      <c r="C14" s="53" t="s">
        <v>18</v>
      </c>
      <c r="D14" s="78" t="s">
        <v>43</v>
      </c>
      <c r="E14" s="21"/>
      <c r="F14" s="24"/>
      <c r="G14" s="72">
        <v>8</v>
      </c>
      <c r="H14" s="9" t="s">
        <v>12</v>
      </c>
      <c r="I14" s="12">
        <v>44986</v>
      </c>
      <c r="J14" s="17">
        <v>2</v>
      </c>
      <c r="K14" s="18">
        <f>(G14-$L$7)/$O$7</f>
        <v>55</v>
      </c>
      <c r="L14" s="101"/>
      <c r="M14" s="72"/>
      <c r="N14" s="72"/>
      <c r="O14" s="5"/>
    </row>
    <row r="15" spans="1:15" ht="15.75" thickBot="1" x14ac:dyDescent="0.3">
      <c r="A15" s="6" t="s">
        <v>10</v>
      </c>
      <c r="B15" s="76">
        <v>45231</v>
      </c>
      <c r="C15" s="125">
        <v>40</v>
      </c>
      <c r="D15" s="126">
        <v>4</v>
      </c>
      <c r="E15" s="35">
        <f>C15*C15</f>
        <v>1600</v>
      </c>
      <c r="F15" s="33">
        <f>C15*D15</f>
        <v>160</v>
      </c>
      <c r="G15" s="4"/>
      <c r="H15" s="72"/>
      <c r="I15" s="72"/>
      <c r="J15" s="72"/>
      <c r="K15" s="72"/>
      <c r="L15" s="101"/>
      <c r="M15" s="72"/>
      <c r="N15" s="72"/>
      <c r="O15" s="5"/>
    </row>
    <row r="16" spans="1:15" x14ac:dyDescent="0.25">
      <c r="A16" s="4"/>
      <c r="B16" s="90"/>
      <c r="C16" s="80"/>
      <c r="D16" s="31"/>
      <c r="E16" s="72"/>
      <c r="F16" s="72"/>
      <c r="G16" s="72"/>
      <c r="H16" s="72"/>
      <c r="I16" s="72"/>
      <c r="J16" s="72"/>
      <c r="K16" s="72"/>
      <c r="L16" s="101"/>
      <c r="M16" s="72"/>
      <c r="N16" s="72"/>
      <c r="O16" s="5"/>
    </row>
    <row r="17" spans="1:15" ht="15.75" thickBot="1" x14ac:dyDescent="0.3">
      <c r="A17" s="6" t="s">
        <v>9</v>
      </c>
      <c r="B17" s="76">
        <v>45232</v>
      </c>
      <c r="C17" s="53" t="s">
        <v>18</v>
      </c>
      <c r="D17" s="78" t="s">
        <v>43</v>
      </c>
      <c r="E17" s="24"/>
      <c r="F17" s="24"/>
      <c r="G17" s="72"/>
      <c r="H17" s="72"/>
      <c r="I17" s="72"/>
      <c r="J17" s="72"/>
      <c r="K17" s="72"/>
      <c r="L17" s="101"/>
      <c r="M17" s="72"/>
      <c r="N17" s="72"/>
      <c r="O17" s="5"/>
    </row>
    <row r="18" spans="1:15" ht="15.75" thickBot="1" x14ac:dyDescent="0.3">
      <c r="A18" s="6" t="s">
        <v>10</v>
      </c>
      <c r="B18" s="76">
        <v>45261</v>
      </c>
      <c r="C18" s="125">
        <v>45</v>
      </c>
      <c r="D18" s="53">
        <v>5</v>
      </c>
      <c r="E18" s="45">
        <f>C18*C18</f>
        <v>2025</v>
      </c>
      <c r="F18" s="36">
        <f>C18*D18</f>
        <v>225</v>
      </c>
      <c r="G18" s="4"/>
      <c r="H18" s="72"/>
      <c r="I18" s="72"/>
      <c r="J18" s="72"/>
      <c r="K18" s="101"/>
      <c r="L18" s="101"/>
      <c r="M18" s="72"/>
      <c r="N18" s="72"/>
      <c r="O18" s="5"/>
    </row>
    <row r="19" spans="1:15" x14ac:dyDescent="0.25">
      <c r="A19" s="4"/>
      <c r="B19" s="90"/>
      <c r="C19" s="80"/>
      <c r="D19" s="31"/>
      <c r="E19" s="72"/>
      <c r="F19" s="72"/>
      <c r="G19" s="72"/>
      <c r="H19" s="72"/>
      <c r="I19" s="72"/>
      <c r="J19" s="72"/>
      <c r="K19" s="101"/>
      <c r="L19" s="72"/>
      <c r="M19" s="72"/>
      <c r="N19" s="72"/>
      <c r="O19" s="5"/>
    </row>
    <row r="20" spans="1:15" ht="15.75" thickBot="1" x14ac:dyDescent="0.3">
      <c r="A20" s="6" t="s">
        <v>9</v>
      </c>
      <c r="B20" s="76">
        <v>44897</v>
      </c>
      <c r="C20" s="53" t="s">
        <v>18</v>
      </c>
      <c r="D20" s="78" t="s">
        <v>43</v>
      </c>
      <c r="E20" s="21"/>
      <c r="F20" s="24"/>
      <c r="G20" s="72"/>
      <c r="H20" s="72"/>
      <c r="I20" s="72"/>
      <c r="J20" s="72"/>
      <c r="K20" s="72"/>
      <c r="L20" s="72"/>
      <c r="M20" s="72"/>
      <c r="N20" s="72"/>
      <c r="O20" s="5"/>
    </row>
    <row r="21" spans="1:15" ht="15.75" thickBot="1" x14ac:dyDescent="0.3">
      <c r="A21" s="9" t="s">
        <v>10</v>
      </c>
      <c r="B21" s="77">
        <v>44926</v>
      </c>
      <c r="C21" s="127">
        <v>40</v>
      </c>
      <c r="D21" s="128">
        <v>6</v>
      </c>
      <c r="E21" s="35">
        <f>C21*C21</f>
        <v>1600</v>
      </c>
      <c r="F21" s="36">
        <f>C21*D21</f>
        <v>240</v>
      </c>
      <c r="G21" s="4"/>
      <c r="H21" s="72"/>
      <c r="I21" s="72"/>
      <c r="J21" s="72"/>
      <c r="K21" s="72"/>
      <c r="L21" s="72"/>
      <c r="M21" s="72"/>
      <c r="N21" s="72"/>
      <c r="O21" s="5"/>
    </row>
    <row r="22" spans="1:15" ht="15.75" thickBot="1" x14ac:dyDescent="0.3">
      <c r="A22" s="21"/>
      <c r="B22" s="24"/>
      <c r="C22" s="50" t="s">
        <v>40</v>
      </c>
      <c r="D22" s="133">
        <v>6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74"/>
    </row>
  </sheetData>
  <mergeCells count="4">
    <mergeCell ref="A3:D3"/>
    <mergeCell ref="H9:K9"/>
    <mergeCell ref="A1:O1"/>
    <mergeCell ref="A2:O2"/>
  </mergeCells>
  <pageMargins left="0.511811024" right="0.511811024" top="0.78740157499999996" bottom="0.78740157499999996" header="0.31496062000000002" footer="0.31496062000000002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AEC88-366D-4321-A275-5E2454D111BF}">
  <sheetPr codeName="Planilha9"/>
  <dimension ref="A1:K20"/>
  <sheetViews>
    <sheetView tabSelected="1" workbookViewId="0">
      <selection activeCell="R25" sqref="R25"/>
    </sheetView>
  </sheetViews>
  <sheetFormatPr defaultRowHeight="15" x14ac:dyDescent="0.25"/>
  <cols>
    <col min="1" max="1" width="16.85546875" bestFit="1" customWidth="1"/>
    <col min="3" max="3" width="13.140625" bestFit="1" customWidth="1"/>
    <col min="4" max="4" width="13.7109375" bestFit="1" customWidth="1"/>
    <col min="6" max="6" width="22.28515625" bestFit="1" customWidth="1"/>
    <col min="7" max="7" width="7.28515625" customWidth="1"/>
    <col min="8" max="8" width="15.85546875" style="16" bestFit="1" customWidth="1"/>
    <col min="9" max="9" width="12.42578125" style="16" bestFit="1" customWidth="1"/>
  </cols>
  <sheetData>
    <row r="1" spans="1:11" ht="15.75" thickBot="1" x14ac:dyDescent="0.3">
      <c r="A1" s="61" t="s">
        <v>77</v>
      </c>
      <c r="B1" s="96"/>
      <c r="C1" s="96"/>
      <c r="D1" s="96"/>
      <c r="E1" s="96"/>
      <c r="F1" s="96"/>
      <c r="G1" s="96"/>
      <c r="H1" s="96"/>
      <c r="I1" s="96"/>
      <c r="J1" s="96"/>
      <c r="K1" s="97"/>
    </row>
    <row r="2" spans="1:11" ht="15.75" thickBot="1" x14ac:dyDescent="0.3">
      <c r="A2" s="64"/>
      <c r="B2" s="59"/>
      <c r="C2" s="59"/>
      <c r="D2" s="59"/>
      <c r="E2" s="59"/>
      <c r="F2" s="59"/>
      <c r="G2" s="59"/>
      <c r="H2" s="59"/>
      <c r="I2" s="59"/>
      <c r="J2" s="59"/>
      <c r="K2" s="60"/>
    </row>
    <row r="3" spans="1:11" ht="15.75" thickBot="1" x14ac:dyDescent="0.3">
      <c r="A3" s="65" t="s">
        <v>13</v>
      </c>
      <c r="B3" s="62"/>
      <c r="C3" s="62"/>
      <c r="D3" s="63"/>
      <c r="E3" s="72"/>
      <c r="F3" s="65" t="s">
        <v>16</v>
      </c>
      <c r="G3" s="62"/>
      <c r="H3" s="62"/>
      <c r="I3" s="63"/>
      <c r="J3" s="72"/>
      <c r="K3" s="5"/>
    </row>
    <row r="4" spans="1:11" ht="15.75" thickBot="1" x14ac:dyDescent="0.3">
      <c r="A4" s="57"/>
      <c r="B4" s="70"/>
      <c r="C4" s="70"/>
      <c r="D4" s="58"/>
      <c r="E4" s="72"/>
      <c r="F4" s="64"/>
      <c r="G4" s="59"/>
      <c r="H4" s="59"/>
      <c r="I4" s="60"/>
      <c r="J4" s="72"/>
      <c r="K4" s="5"/>
    </row>
    <row r="5" spans="1:11" x14ac:dyDescent="0.25">
      <c r="A5" s="6" t="s">
        <v>11</v>
      </c>
      <c r="B5" s="76">
        <v>44927</v>
      </c>
      <c r="C5" s="53" t="s">
        <v>17</v>
      </c>
      <c r="D5" s="78" t="s">
        <v>19</v>
      </c>
      <c r="E5" s="72"/>
      <c r="F5" s="46" t="s">
        <v>7</v>
      </c>
      <c r="G5" s="135">
        <v>44927</v>
      </c>
      <c r="H5" s="48" t="s">
        <v>22</v>
      </c>
      <c r="I5" s="49" t="s">
        <v>21</v>
      </c>
      <c r="J5" s="72"/>
      <c r="K5" s="5"/>
    </row>
    <row r="6" spans="1:11" x14ac:dyDescent="0.25">
      <c r="A6" s="6" t="s">
        <v>12</v>
      </c>
      <c r="B6" s="76">
        <v>44956</v>
      </c>
      <c r="C6" s="53">
        <v>3</v>
      </c>
      <c r="D6" s="84">
        <v>109</v>
      </c>
      <c r="E6" s="72"/>
      <c r="F6" s="6" t="s">
        <v>8</v>
      </c>
      <c r="G6" s="76">
        <v>44939</v>
      </c>
      <c r="H6" s="13">
        <f>(D6/C6)</f>
        <v>36.333333333333336</v>
      </c>
      <c r="I6" s="22">
        <v>36</v>
      </c>
      <c r="J6" s="72"/>
      <c r="K6" s="5"/>
    </row>
    <row r="7" spans="1:11" x14ac:dyDescent="0.25">
      <c r="A7" s="66"/>
      <c r="B7" s="71"/>
      <c r="C7" s="71"/>
      <c r="D7" s="67"/>
      <c r="E7" s="72"/>
      <c r="F7" s="4"/>
      <c r="G7" s="80"/>
      <c r="H7" s="91"/>
      <c r="I7" s="15"/>
      <c r="J7" s="72"/>
      <c r="K7" s="5"/>
    </row>
    <row r="8" spans="1:11" x14ac:dyDescent="0.25">
      <c r="A8" s="6" t="s">
        <v>11</v>
      </c>
      <c r="B8" s="76">
        <v>44957</v>
      </c>
      <c r="C8" s="53" t="s">
        <v>17</v>
      </c>
      <c r="D8" s="78" t="s">
        <v>19</v>
      </c>
      <c r="E8" s="72"/>
      <c r="F8" s="6" t="s">
        <v>7</v>
      </c>
      <c r="G8" s="76">
        <v>44940</v>
      </c>
      <c r="H8" s="13" t="s">
        <v>22</v>
      </c>
      <c r="I8" s="14" t="s">
        <v>21</v>
      </c>
      <c r="J8" s="72"/>
      <c r="K8" s="5"/>
    </row>
    <row r="9" spans="1:11" ht="15.75" thickBot="1" x14ac:dyDescent="0.3">
      <c r="A9" s="9" t="s">
        <v>12</v>
      </c>
      <c r="B9" s="77">
        <v>44986</v>
      </c>
      <c r="C9" s="83">
        <v>2</v>
      </c>
      <c r="D9" s="85">
        <v>121</v>
      </c>
      <c r="E9" s="72"/>
      <c r="F9" s="6" t="s">
        <v>8</v>
      </c>
      <c r="G9" s="76">
        <v>44952</v>
      </c>
      <c r="H9" s="13">
        <f>(D6/C6)</f>
        <v>36.333333333333336</v>
      </c>
      <c r="I9" s="22">
        <v>36</v>
      </c>
      <c r="J9" s="134"/>
      <c r="K9" s="5"/>
    </row>
    <row r="10" spans="1:11" x14ac:dyDescent="0.25">
      <c r="A10" s="4"/>
      <c r="B10" s="72"/>
      <c r="C10" s="72"/>
      <c r="D10" s="72"/>
      <c r="E10" s="72"/>
      <c r="F10" s="4"/>
      <c r="G10" s="80"/>
      <c r="H10" s="91"/>
      <c r="I10" s="15"/>
      <c r="J10" s="72"/>
      <c r="K10" s="5"/>
    </row>
    <row r="11" spans="1:11" x14ac:dyDescent="0.25">
      <c r="A11" s="4"/>
      <c r="B11" s="72"/>
      <c r="C11" s="72"/>
      <c r="D11" s="72"/>
      <c r="E11" s="72"/>
      <c r="F11" s="6" t="s">
        <v>7</v>
      </c>
      <c r="G11" s="76">
        <v>44953</v>
      </c>
      <c r="H11" s="13" t="s">
        <v>22</v>
      </c>
      <c r="I11" s="14" t="s">
        <v>21</v>
      </c>
      <c r="J11" s="72"/>
      <c r="K11" s="5"/>
    </row>
    <row r="12" spans="1:11" ht="15.75" thickBot="1" x14ac:dyDescent="0.3">
      <c r="A12" s="4"/>
      <c r="B12" s="72"/>
      <c r="C12" s="72"/>
      <c r="D12" s="72"/>
      <c r="E12" s="72"/>
      <c r="F12" s="9" t="s">
        <v>8</v>
      </c>
      <c r="G12" s="77">
        <v>44965</v>
      </c>
      <c r="H12" s="23">
        <f>(D6/C6)</f>
        <v>36.333333333333336</v>
      </c>
      <c r="I12" s="25">
        <v>37</v>
      </c>
      <c r="J12" s="134">
        <f>D6-I12</f>
        <v>72</v>
      </c>
      <c r="K12" s="5">
        <f>J12/2</f>
        <v>36</v>
      </c>
    </row>
    <row r="13" spans="1:11" ht="15.75" thickBot="1" x14ac:dyDescent="0.3">
      <c r="A13" s="4"/>
      <c r="B13" s="72"/>
      <c r="C13" s="72"/>
      <c r="D13" s="72"/>
      <c r="E13" s="72"/>
      <c r="F13" s="4"/>
      <c r="G13" s="90"/>
      <c r="H13" s="27">
        <f>(H6+H9+H12)</f>
        <v>109</v>
      </c>
      <c r="I13" s="28">
        <f>I12+I9+I6</f>
        <v>109</v>
      </c>
      <c r="J13" s="134"/>
      <c r="K13" s="5"/>
    </row>
    <row r="14" spans="1:11" ht="15.75" thickBot="1" x14ac:dyDescent="0.3">
      <c r="A14" s="4"/>
      <c r="B14" s="72"/>
      <c r="C14" s="72"/>
      <c r="D14" s="72"/>
      <c r="E14" s="72"/>
      <c r="F14" s="21"/>
      <c r="G14" s="136"/>
      <c r="H14" s="50"/>
      <c r="I14" s="51"/>
      <c r="J14" s="72"/>
      <c r="K14" s="5"/>
    </row>
    <row r="15" spans="1:11" x14ac:dyDescent="0.25">
      <c r="A15" s="4"/>
      <c r="B15" s="72"/>
      <c r="C15" s="72"/>
      <c r="D15" s="72"/>
      <c r="E15" s="72"/>
      <c r="F15" s="46" t="s">
        <v>7</v>
      </c>
      <c r="G15" s="135">
        <v>44966</v>
      </c>
      <c r="H15" s="48" t="s">
        <v>22</v>
      </c>
      <c r="I15" s="49" t="s">
        <v>21</v>
      </c>
      <c r="J15" s="72"/>
      <c r="K15" s="5"/>
    </row>
    <row r="16" spans="1:11" x14ac:dyDescent="0.25">
      <c r="A16" s="4"/>
      <c r="B16" s="72"/>
      <c r="C16" s="72"/>
      <c r="D16" s="72"/>
      <c r="E16" s="72"/>
      <c r="F16" s="6" t="s">
        <v>8</v>
      </c>
      <c r="G16" s="76">
        <v>44978</v>
      </c>
      <c r="H16" s="13">
        <f>D9/C9</f>
        <v>60.5</v>
      </c>
      <c r="I16" s="22">
        <f>D9-(I19)</f>
        <v>60</v>
      </c>
      <c r="J16" s="72"/>
      <c r="K16" s="5"/>
    </row>
    <row r="17" spans="1:11" x14ac:dyDescent="0.25">
      <c r="A17" s="4"/>
      <c r="B17" s="72"/>
      <c r="C17" s="72"/>
      <c r="D17" s="72"/>
      <c r="E17" s="72"/>
      <c r="F17" s="4"/>
      <c r="G17" s="80"/>
      <c r="H17" s="91"/>
      <c r="I17" s="15"/>
      <c r="J17" s="72"/>
      <c r="K17" s="5"/>
    </row>
    <row r="18" spans="1:11" x14ac:dyDescent="0.25">
      <c r="A18" s="4"/>
      <c r="B18" s="72"/>
      <c r="C18" s="72"/>
      <c r="D18" s="72"/>
      <c r="E18" s="72"/>
      <c r="F18" s="6" t="s">
        <v>7</v>
      </c>
      <c r="G18" s="76">
        <v>44979</v>
      </c>
      <c r="H18" s="13" t="s">
        <v>22</v>
      </c>
      <c r="I18" s="14" t="s">
        <v>21</v>
      </c>
      <c r="J18" s="72"/>
      <c r="K18" s="5"/>
    </row>
    <row r="19" spans="1:11" ht="15.75" thickBot="1" x14ac:dyDescent="0.3">
      <c r="A19" s="4"/>
      <c r="B19" s="72"/>
      <c r="C19" s="72"/>
      <c r="D19" s="72"/>
      <c r="E19" s="72"/>
      <c r="F19" s="9" t="s">
        <v>8</v>
      </c>
      <c r="G19" s="77">
        <v>44986</v>
      </c>
      <c r="H19" s="23">
        <f>D9/C9</f>
        <v>60.5</v>
      </c>
      <c r="I19" s="26">
        <v>61</v>
      </c>
      <c r="J19" s="72"/>
      <c r="K19" s="5"/>
    </row>
    <row r="20" spans="1:11" ht="15.75" thickBot="1" x14ac:dyDescent="0.3">
      <c r="A20" s="21"/>
      <c r="B20" s="24"/>
      <c r="C20" s="24"/>
      <c r="D20" s="24"/>
      <c r="E20" s="24"/>
      <c r="F20" s="21"/>
      <c r="G20" s="24"/>
      <c r="H20" s="27">
        <f>H16+H19</f>
        <v>121</v>
      </c>
      <c r="I20" s="28">
        <f>(I16+I19)</f>
        <v>121</v>
      </c>
      <c r="J20" s="24"/>
      <c r="K20" s="74"/>
    </row>
  </sheetData>
  <mergeCells count="7">
    <mergeCell ref="A7:D7"/>
    <mergeCell ref="A3:D3"/>
    <mergeCell ref="F3:I3"/>
    <mergeCell ref="A1:K1"/>
    <mergeCell ref="A2:K2"/>
    <mergeCell ref="A4:D4"/>
    <mergeCell ref="F4:I4"/>
  </mergeCells>
  <pageMargins left="0.511811024" right="0.511811024" top="0.78740157499999996" bottom="0.78740157499999996" header="0.31496062000000002" footer="0.31496062000000002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Períodos</vt:lpstr>
      <vt:lpstr>Índice Manual</vt:lpstr>
      <vt:lpstr>Média móvel 3</vt:lpstr>
      <vt:lpstr>Média móvel 6</vt:lpstr>
      <vt:lpstr>Média simples</vt:lpstr>
      <vt:lpstr>Período anterior</vt:lpstr>
      <vt:lpstr>Alisamento exponencial</vt:lpstr>
      <vt:lpstr>Tendência</vt:lpstr>
      <vt:lpstr>Espalhamento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Herz</dc:creator>
  <cp:lastModifiedBy>Kelli Suzana</cp:lastModifiedBy>
  <dcterms:created xsi:type="dcterms:W3CDTF">2023-01-26T19:58:49Z</dcterms:created>
  <dcterms:modified xsi:type="dcterms:W3CDTF">2024-02-08T18:44:20Z</dcterms:modified>
</cp:coreProperties>
</file>